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Расходы 2021" sheetId="1" r:id="rId1"/>
  </sheets>
  <definedNames>
    <definedName name="_Date_">#REF!</definedName>
    <definedName name="_Otchet_Period_Source__AT_ObjectName">#REF!</definedName>
    <definedName name="_Period_">#REF!</definedName>
    <definedName name="Excel_BuiltIn_Print_Area" localSheetId="0">'Расходы 2021'!$A$1:$G$1004</definedName>
    <definedName name="Excel_BuiltIn_Print_Titles" localSheetId="0">'Расходы 2021'!$6:$6</definedName>
    <definedName name="_xlnm.Print_Titles" localSheetId="0">'Расходы 2021'!$6:$6</definedName>
    <definedName name="_xlnm.Print_Area" localSheetId="0">'Расходы 2021'!$A$1:$G$1004</definedName>
  </definedNames>
  <calcPr fullCalcOnLoad="1"/>
</workbook>
</file>

<file path=xl/sharedStrings.xml><?xml version="1.0" encoding="utf-8"?>
<sst xmlns="http://schemas.openxmlformats.org/spreadsheetml/2006/main" count="3031" uniqueCount="684">
  <si>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</si>
  <si>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</si>
  <si>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Комитета по материально-техническому обеспечению Администрации города Обнинска</t>
  </si>
  <si>
    <t>70 1 00 11005</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</si>
  <si>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</si>
  <si>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</si>
  <si>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</si>
  <si>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</si>
  <si>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</si>
  <si>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</si>
  <si>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</si>
  <si>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</si>
  <si>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</si>
  <si>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</si>
  <si>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</si>
  <si>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</si>
  <si>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</si>
  <si>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</si>
  <si>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</si>
  <si>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</si>
  <si>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</si>
  <si>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</si>
  <si>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70 3 00 13012</t>
  </si>
  <si>
    <t>Специальные расходы</t>
  </si>
  <si>
    <t>880</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</si>
  <si>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</si>
  <si>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</si>
  <si>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</si>
  <si>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</si>
  <si>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</si>
  <si>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</si>
  <si>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</si>
  <si>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</si>
  <si>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</si>
  <si>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</si>
  <si>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</si>
  <si>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</si>
  <si>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</si>
  <si>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</si>
  <si>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</si>
  <si>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</si>
  <si>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</si>
  <si>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</si>
  <si>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</si>
  <si>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</si>
  <si>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</si>
  <si>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</si>
  <si>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Оказание услуг по транспортировке тел умерших в патологоанатомическое отделение</t>
  </si>
  <si>
    <t>09 5 02 10000</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</si>
  <si>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</si>
  <si>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</si>
  <si>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</si>
  <si>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</si>
  <si>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</si>
  <si>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</si>
  <si>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</si>
  <si>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</si>
  <si>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</si>
  <si>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</si>
  <si>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</si>
  <si>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</si>
  <si>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</si>
  <si>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</si>
  <si>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</si>
  <si>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</si>
  <si>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</si>
  <si>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</si>
  <si>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</si>
  <si>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</si>
  <si>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</si>
  <si>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</si>
  <si>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</si>
  <si>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</si>
  <si>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</si>
  <si>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</si>
  <si>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</si>
  <si>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</si>
  <si>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</si>
  <si>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</si>
  <si>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</si>
  <si>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</si>
  <si>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</si>
  <si>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</si>
  <si>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</si>
  <si>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</si>
  <si>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</si>
  <si>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</si>
  <si>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</si>
  <si>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</si>
  <si>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</si>
  <si>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</si>
  <si>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</si>
  <si>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Выплаты медицинским работникам, лечащим пациентов с диагнозом новой коронавирусной инфекции COVID-19</t>
  </si>
  <si>
    <t>70 4 00 00153</t>
  </si>
  <si>
    <t>600</t>
  </si>
  <si>
    <t>610</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</si>
  <si>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</si>
  <si>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</si>
  <si>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Осуществление государственных полномочий по проведению Всероссийской переписи населения 2020 года</t>
  </si>
  <si>
    <t>70 4 00 54690</t>
  </si>
  <si>
    <t>Повышение уровня привлекательности профессиональной деятельности в сфере архитектуры и градостроительства</t>
  </si>
  <si>
    <t>70 4 00 S6233</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</si>
  <si>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</si>
  <si>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</si>
  <si>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</si>
  <si>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</si>
  <si>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</si>
  <si>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</si>
  <si>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</si>
  <si>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</si>
  <si>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</si>
  <si>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</si>
  <si>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</si>
  <si>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</si>
  <si>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</si>
  <si>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</si>
  <si>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</si>
  <si>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</si>
  <si>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</si>
  <si>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</si>
  <si>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</si>
  <si>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</si>
  <si>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</si>
  <si>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</si>
  <si>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</si>
  <si>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</si>
  <si>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</si>
  <si>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</si>
  <si>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</si>
  <si>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</si>
  <si>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</si>
  <si>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</si>
  <si>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</si>
  <si>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</si>
  <si>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</si>
  <si>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</si>
  <si>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</si>
  <si>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</si>
  <si>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</si>
  <si>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</si>
  <si>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</si>
  <si>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</si>
  <si>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</si>
  <si>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</si>
  <si>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70 3 00 13011</t>
  </si>
  <si>
    <t>Дорожное хозяйство (дорожные фонды)</t>
  </si>
  <si>
    <t>0409</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</si>
  <si>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</si>
  <si>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</si>
  <si>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</si>
  <si>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</si>
  <si>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Устройство съездов с пешеходных тротуаров для маломобильных групп населения</t>
  </si>
  <si>
    <t>05 2 02 10000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</si>
  <si>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</si>
  <si>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</si>
  <si>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</si>
  <si>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</si>
  <si>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</si>
  <si>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</si>
  <si>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</si>
  <si>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</si>
  <si>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</si>
  <si>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</si>
  <si>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</si>
  <si>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</si>
  <si>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</si>
  <si>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</si>
  <si>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</si>
  <si>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</si>
  <si>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</si>
  <si>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</si>
  <si>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Реконструкция участка автомобильной дороги ул. Красных Зорь на участке от ООО "Марк-4" до ул. Северная</t>
  </si>
  <si>
    <t>06 0 12 L5250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</si>
  <si>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</si>
  <si>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</si>
  <si>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</si>
  <si>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 0 F1 50219</t>
  </si>
  <si>
    <t>06 0 R1 53930</t>
  </si>
  <si>
    <t>06 0 R1 L5000</t>
  </si>
  <si>
    <t>Связь и информатика</t>
  </si>
  <si>
    <t>0410</t>
  </si>
  <si>
    <t xml:space="preserve">Проведение работ по построению сегментов высокоскоростной корпоративной информационно-коммуникационной сети </t>
  </si>
  <si>
    <t>70 4 00 S6540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</si>
  <si>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</si>
  <si>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</si>
  <si>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</si>
  <si>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</si>
  <si>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</si>
  <si>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</si>
  <si>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</si>
  <si>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</si>
  <si>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</si>
  <si>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</si>
  <si>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</si>
  <si>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</si>
  <si>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</si>
  <si>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</si>
  <si>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</si>
  <si>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</si>
  <si>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</si>
  <si>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</si>
  <si>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</si>
  <si>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</si>
  <si>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</si>
  <si>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</si>
  <si>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</si>
  <si>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 2 01 S7010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</si>
  <si>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внесению изменений в документы территориального планирования и градостроительного зонирования)</t>
  </si>
  <si>
    <t>13 2 01 S7030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</si>
  <si>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</si>
  <si>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</si>
  <si>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</si>
  <si>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</si>
  <si>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</si>
  <si>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</si>
  <si>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</si>
  <si>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</si>
  <si>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</si>
  <si>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</si>
  <si>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</si>
  <si>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</si>
  <si>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</si>
  <si>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</si>
  <si>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</si>
  <si>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</si>
  <si>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</si>
  <si>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</si>
  <si>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</si>
  <si>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</si>
  <si>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</si>
  <si>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</si>
  <si>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</si>
  <si>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</si>
  <si>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</si>
  <si>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</si>
  <si>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</si>
  <si>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Выполнение работ по сносу многоквартирного жилого дома, расположенного по адресу: г.Обнинск, ул.Менделеева, д.8/4</t>
  </si>
  <si>
    <t>70 3 00 13010</t>
  </si>
  <si>
    <t>Коммунальное хозяйство</t>
  </si>
  <si>
    <t>0502</t>
  </si>
  <si>
    <t>Ремонт ветхих участков водопроводных сетей</t>
  </si>
  <si>
    <t>08 0 02 10000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</si>
  <si>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</si>
  <si>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 0 02 S7020</t>
  </si>
  <si>
    <t>Реконструкция магистральных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</si>
  <si>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</si>
  <si>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</si>
  <si>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</si>
  <si>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Строительство объекта: "Городской магистральный напорный хозфекальный коллектор и КНС-51 в г.Обнинске Калужской области" </t>
  </si>
  <si>
    <t>10 0 05 10000</t>
  </si>
  <si>
    <t>Строительство очистных сооружений ливневых стоков в районе промзоны Мишково</t>
  </si>
  <si>
    <t>10 0 06 10000</t>
  </si>
  <si>
    <t>Строительство канализационно-насосной станции с двумя напорными коллекторами в районе ул. Пирогова</t>
  </si>
  <si>
    <t>10 0 08 10000</t>
  </si>
  <si>
    <t>Выполнение мероприятий в связи с выводом из эксплуатации ТЭЦ ФЭИ и реконструкция тепловых сетей</t>
  </si>
  <si>
    <t>10 0 10 10000</t>
  </si>
  <si>
    <t>Реализация проекта "Трасса Северного водовода от Вашутинского водозабора до города Обнинска, пр-т Маркса, ВК 874"</t>
  </si>
  <si>
    <t>10 0 11 10000</t>
  </si>
  <si>
    <t>Проектирование и строительство очистных сооружений ливневых вод для детских садов по ул. Пирогова д.12 и д.14</t>
  </si>
  <si>
    <t>10 0 12 10000</t>
  </si>
  <si>
    <t>Реконструкция "старой" линии очистных сооружений канализации города, включая технологический и ценовой аудит  (за счет субсидии на 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</si>
  <si>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10 0 13 S9030</t>
  </si>
  <si>
    <t>Проектирование и строительство станций очистки воды для скважин Вашутинского водозабора</t>
  </si>
  <si>
    <t>10 0 14 10000</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</si>
  <si>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</si>
  <si>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 0 F1 50215</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</si>
  <si>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</si>
  <si>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</si>
  <si>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50218</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</si>
  <si>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</si>
  <si>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</si>
  <si>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Выполнение работ по подключению жилых домов № 2, 7, 9а по ул.Пирогова к централизованной системе водоснабжения МП «Водоканал»</t>
  </si>
  <si>
    <t>70 3 00 13014</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</si>
  <si>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</si>
  <si>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</si>
  <si>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</si>
  <si>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</si>
  <si>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</si>
  <si>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</si>
  <si>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благоустройству территории  города Обнинска (за счет субсидии на реализацию мероприятий по созданию и содержанию мест (площадок) накопления твердых коммунальных отходов)</t>
  </si>
  <si>
    <t>09 1 01 S2122</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</si>
  <si>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</si>
  <si>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</si>
  <si>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</si>
  <si>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</si>
  <si>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</si>
  <si>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</si>
  <si>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</si>
  <si>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</si>
  <si>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</si>
  <si>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</si>
  <si>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</si>
  <si>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</si>
  <si>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</si>
  <si>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</si>
  <si>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</si>
  <si>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</si>
  <si>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</si>
  <si>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</si>
  <si>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</si>
  <si>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</si>
  <si>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</si>
  <si>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</si>
  <si>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15 0 01 10000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</si>
  <si>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</si>
  <si>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15 0 02 10000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</si>
  <si>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</si>
  <si>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</si>
  <si>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</si>
  <si>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85552</t>
  </si>
  <si>
    <t>Увеличение уставного фонда муниципального предприятия города Обнинска Калужской области "Коммунальное хозяйство"</t>
  </si>
  <si>
    <t>70 3 00 13013</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</si>
  <si>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</si>
  <si>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</si>
  <si>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</si>
  <si>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</si>
  <si>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Строительство магистрального хозфекального коллектора</t>
  </si>
  <si>
    <t>10 0 01 10000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</si>
  <si>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</si>
  <si>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</si>
  <si>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</si>
  <si>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</si>
  <si>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</si>
  <si>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</si>
  <si>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</si>
  <si>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</si>
  <si>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</si>
  <si>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</si>
  <si>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</si>
  <si>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</si>
  <si>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</si>
  <si>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</si>
  <si>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</si>
  <si>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</si>
  <si>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</si>
  <si>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</si>
  <si>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01 1 P2 52320</t>
  </si>
  <si>
    <t>01 1 P2 52321</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</si>
  <si>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</si>
  <si>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</si>
  <si>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</si>
  <si>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</si>
  <si>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</si>
  <si>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</si>
  <si>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</si>
  <si>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</si>
  <si>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</si>
  <si>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</si>
  <si>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</si>
  <si>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</si>
  <si>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</si>
  <si>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</si>
  <si>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t>
  </si>
  <si>
    <t>01 2 04 16101</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</si>
  <si>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</si>
  <si>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 2 04 S6112</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</si>
  <si>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</si>
  <si>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</si>
  <si>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</si>
  <si>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</si>
  <si>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</si>
  <si>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</si>
  <si>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</si>
  <si>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</si>
  <si>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</si>
  <si>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</si>
  <si>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</si>
  <si>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</si>
  <si>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</si>
  <si>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</si>
  <si>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</si>
  <si>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</si>
  <si>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</si>
  <si>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</si>
  <si>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</si>
  <si>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</si>
  <si>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</si>
  <si>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</si>
  <si>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</si>
  <si>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</si>
  <si>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</si>
  <si>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</si>
  <si>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 xml:space="preserve">Молодежная политика </t>
  </si>
  <si>
    <t>0707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</si>
  <si>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</si>
  <si>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</si>
  <si>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</si>
  <si>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</si>
  <si>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</si>
  <si>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</si>
  <si>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</si>
  <si>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</si>
  <si>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</si>
  <si>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</si>
  <si>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</si>
  <si>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</si>
  <si>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</si>
  <si>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</si>
  <si>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</si>
  <si>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</si>
  <si>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</si>
  <si>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</si>
  <si>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</si>
  <si>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</si>
  <si>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</si>
  <si>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</si>
  <si>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</si>
  <si>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</si>
  <si>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</si>
  <si>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</si>
  <si>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300</t>
  </si>
  <si>
    <t>320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</si>
  <si>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</si>
  <si>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</si>
  <si>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</si>
  <si>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</si>
  <si>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</si>
  <si>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</si>
  <si>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</si>
  <si>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</si>
  <si>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</si>
  <si>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</si>
  <si>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</si>
  <si>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</si>
  <si>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</si>
  <si>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</si>
  <si>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</si>
  <si>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</si>
  <si>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</si>
  <si>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</si>
  <si>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</si>
  <si>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</si>
  <si>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</si>
  <si>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</si>
  <si>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</si>
  <si>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</si>
  <si>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</si>
  <si>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</si>
  <si>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</si>
  <si>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</si>
  <si>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</si>
  <si>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</si>
  <si>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</si>
  <si>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</si>
  <si>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</si>
  <si>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</si>
  <si>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</si>
  <si>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</si>
  <si>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</si>
  <si>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</si>
  <si>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</si>
  <si>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</si>
  <si>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</si>
  <si>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</si>
  <si>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</si>
  <si>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</si>
  <si>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</si>
  <si>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</si>
  <si>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</si>
  <si>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</si>
  <si>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</si>
  <si>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</si>
  <si>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</si>
  <si>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</si>
  <si>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</si>
  <si>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</si>
  <si>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</si>
  <si>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</si>
  <si>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</si>
  <si>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</si>
  <si>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</si>
  <si>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</si>
  <si>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</si>
  <si>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</si>
  <si>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</si>
  <si>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</si>
  <si>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</si>
  <si>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</si>
  <si>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</si>
  <si>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</si>
  <si>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</si>
  <si>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</si>
  <si>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</si>
  <si>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</si>
  <si>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</si>
  <si>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</si>
  <si>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</si>
  <si>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</si>
  <si>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</si>
  <si>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</si>
  <si>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</si>
  <si>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</si>
  <si>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</si>
  <si>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</si>
  <si>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</si>
  <si>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</si>
  <si>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</si>
  <si>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</si>
  <si>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</si>
  <si>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</si>
  <si>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</si>
  <si>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</si>
  <si>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 xml:space="preserve">Предоставление денежных выплат и компенсаций отдельным категориям граждан, подвергшихся воздействию радиации </t>
  </si>
  <si>
    <t>05 1 21 51370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</si>
  <si>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</si>
  <si>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</si>
  <si>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</si>
  <si>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</si>
  <si>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</si>
  <si>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</si>
  <si>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</si>
  <si>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</si>
  <si>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</si>
  <si>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</si>
  <si>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</si>
  <si>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</si>
  <si>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</si>
  <si>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</si>
  <si>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</si>
  <si>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</si>
  <si>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</si>
  <si>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</si>
  <si>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</si>
  <si>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</si>
  <si>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05 1 08 52700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</si>
  <si>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</si>
  <si>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05 1 10 53800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</si>
  <si>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</si>
  <si>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</si>
  <si>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</si>
  <si>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</si>
  <si>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</si>
  <si>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</si>
  <si>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</si>
  <si>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</si>
  <si>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</si>
  <si>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</si>
  <si>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</si>
  <si>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</si>
  <si>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</si>
  <si>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</si>
  <si>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</si>
  <si>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</si>
  <si>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</si>
  <si>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</si>
  <si>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</si>
  <si>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</si>
  <si>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</si>
  <si>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</si>
  <si>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</si>
  <si>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</si>
  <si>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</si>
  <si>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</si>
  <si>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</si>
  <si>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</si>
  <si>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</si>
  <si>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</si>
  <si>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</si>
  <si>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</si>
  <si>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</si>
  <si>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</si>
  <si>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</si>
  <si>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310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</si>
  <si>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</si>
  <si>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</si>
  <si>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</si>
  <si>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</si>
  <si>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</si>
  <si>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</si>
  <si>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</si>
  <si>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</si>
  <si>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</si>
  <si>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</si>
  <si>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</si>
  <si>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</si>
  <si>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Проведение ремонтных работ на спортивном объекте: муниципальное бюджетное учреждение "Спортивная школа олимпийского резерва по волейболу Александра Савина" города Обнинска по ул. Цветкова, 4 и 4а за счет средств областного бюджета</t>
  </si>
  <si>
    <t>04 0 05 00150</t>
  </si>
  <si>
    <t>04 0 P5 50810</t>
  </si>
  <si>
    <t>Муниципальная программа «Социальная поддержка населения города Обнинска»</t>
  </si>
  <si>
    <t>Мероприятия по формированию условий для развития комплексной реабилитации и абилитации инвалидов,в том числе детей-инвалидов</t>
  </si>
  <si>
    <t>05 2 08 L5140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</si>
  <si>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</si>
  <si>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</si>
  <si>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</si>
  <si>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</si>
  <si>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</si>
  <si>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</si>
  <si>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</si>
  <si>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</si>
  <si>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</si>
  <si>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</si>
  <si>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</si>
  <si>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</si>
  <si>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</si>
  <si>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</si>
  <si>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</si>
  <si>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</si>
  <si>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</si>
  <si>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</si>
  <si>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</si>
  <si>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</si>
  <si>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</si>
  <si>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</si>
  <si>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</si>
  <si>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</si>
  <si>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</si>
  <si>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</si>
  <si>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</si>
  <si>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</si>
  <si>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</si>
  <si>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</si>
  <si>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</si>
  <si>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ВСЕГО</t>
  </si>
  <si>
    <t>09 4 01 00270</t>
  </si>
  <si>
    <t>Благоустройство и расширение парковых зон и скверов на территории города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</si>
  <si>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02 1 01 00270</t>
  </si>
  <si>
    <t>Организация и проведение общегородских мероприятий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</si>
  <si>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01 1 08 10000</t>
  </si>
  <si>
    <t>Создание дополнительных мест в детских дошкольных учреждениях</t>
  </si>
  <si>
    <t>04 0 13 10000</t>
  </si>
  <si>
    <t>Выплата компенсации работникам муниципальных физкультурно-спортивных организаций за наем (поднаем) жилых помещений</t>
  </si>
  <si>
    <t>Муниципальная программа «Развитие физической культуры и спорта в городе Обнинске»</t>
  </si>
  <si>
    <t>70 1 00 00150</t>
  </si>
  <si>
    <t>Поощрение глав администраций муниципальных образований Калужской области за активное участие и организацию проведения рейтингового голосования</t>
  </si>
  <si>
    <t>01 1 08 00150</t>
  </si>
  <si>
    <t>Создание дополнительных мест в детских дошкольных учреждениях (за счет средств областного бюджета)</t>
  </si>
  <si>
    <t>70 4 00 00560</t>
  </si>
  <si>
    <t>Расходы в целях поощрения муниципальных образований Калужской области - победителей регионального этапа конкурса "Лучшая муниципальная практика"</t>
  </si>
  <si>
    <t>70 1 00 11110</t>
  </si>
  <si>
    <t>Осуществление полномочий по государственной регистрации актов гражданского состояния за счет средств областного бюджета</t>
  </si>
  <si>
    <t>06 0 09 10000</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</si>
  <si>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t>
  </si>
  <si>
    <t>10 0 15 10000</t>
  </si>
  <si>
    <t>Проектирование и строительство станций очистки воды для скважин Добринского водозабора</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</si>
  <si>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</si>
  <si>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 за счет средств областного бюджета</t>
  </si>
  <si>
    <t>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</si>
  <si>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</si>
  <si>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</si>
  <si>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70 4 00 00151</t>
  </si>
  <si>
    <t>Финансовое обеспечение части расходов на осуществление деятельности избирательных комиссий</t>
  </si>
  <si>
    <t>70 1 00 86060</t>
  </si>
  <si>
    <t>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</si>
  <si>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Приложение № 1 к решению Обнинского городского Собрания "О внесении изменений в решение Обнинского городского Собрания от 15.12.2020 № 02-08 "О бюджете города Обнинска на 2021 год и плановый период 2022 и 2023 годов"</t>
  </si>
  <si>
    <t>от _____________  № ____________</t>
  </si>
  <si>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на 2021 год</t>
  </si>
  <si>
    <t>(руб.)</t>
  </si>
  <si>
    <t>Наименование</t>
  </si>
  <si>
    <t>Раздел, подраз-дел</t>
  </si>
  <si>
    <t>Целевая статья</t>
  </si>
  <si>
    <t>Вид расхо-дов</t>
  </si>
  <si>
    <t>Утверждено на 2021 год</t>
  </si>
  <si>
    <t>Изменения (увеличение (+), уменьшение (-))</t>
  </si>
  <si>
    <t>Сумма на 2021 год с учетом изменений</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</si>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</sst>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1">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sz val="12"/>
      <name val="Times New Roman"/>
      <family val="1"/>
    </font>
    <font>
      <sz val="11"/>
      <name val="Times New Roman"/>
      <family val="1"/>
    </font>
    <font>
      <b/>
      <sz val="14"/>
      <name val="Times New Roman"/>
      <family val="1"/>
    </font>
    <font>
      <b/>
      <sz val="12"/>
      <name val="Times New Roman"/>
      <family val="1"/>
    </font>
    <font>
      <b/>
      <sz val="11"/>
      <name val="Times New Roman"/>
      <family val="1"/>
    </font>
    <font>
      <b/>
      <sz val="10"/>
      <name val="Arial Cyr"/>
      <family val="0"/>
    </font>
    <font>
      <b/>
      <i/>
      <sz val="12"/>
      <name val="Times New Roman"/>
      <family val="1"/>
    </font>
    <font>
      <sz val="12"/>
      <color indexed="8"/>
      <name val="Times New Roman"/>
      <family val="1"/>
    </font>
    <font>
      <b/>
      <i/>
      <sz val="12"/>
      <color indexed="8"/>
      <name val="Times New Roman"/>
      <family val="1"/>
    </font>
    <font>
      <i/>
      <sz val="10"/>
      <name val="Arial Cyr"/>
      <family val="0"/>
    </font>
    <font>
      <b/>
      <i/>
      <sz val="10"/>
      <name val="Arial Cyr"/>
      <family val="0"/>
    </font>
    <font>
      <sz val="10"/>
      <name val="Times New Roman"/>
      <family val="1"/>
    </font>
    <font>
      <b/>
      <sz val="12"/>
      <color indexed="8"/>
      <name val="Times New Roman"/>
      <family val="1"/>
    </font>
    <font>
      <b/>
      <sz val="12.5"/>
      <name val="Times New Roman"/>
      <family val="1"/>
    </font>
    <font>
      <sz val="12.5"/>
      <name val="Times New Roman"/>
      <family val="1"/>
    </font>
    <font>
      <b/>
      <i/>
      <sz val="14"/>
      <name val="Times New Roman"/>
      <family val="1"/>
    </font>
    <font>
      <i/>
      <sz val="14"/>
      <name val="Times New Roman"/>
      <family val="1"/>
    </font>
    <font>
      <sz val="8"/>
      <name val="Arial Cyr"/>
      <family val="0"/>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24"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24" borderId="16">
      <alignment horizontal="center"/>
      <protection/>
    </xf>
    <xf numFmtId="0" fontId="17" fillId="24"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5" fillId="24" borderId="1" applyNumberFormat="0" applyAlignment="0" applyProtection="0"/>
    <xf numFmtId="44" fontId="1" fillId="0" borderId="0" applyFill="0" applyBorder="0" applyAlignment="0" applyProtection="0"/>
    <xf numFmtId="42" fontId="1" fillId="0" borderId="0" applyFill="0" applyBorder="0" applyAlignment="0" applyProtection="0"/>
    <xf numFmtId="0" fontId="26" fillId="0" borderId="22" applyNumberFormat="0" applyFill="0" applyAlignment="0" applyProtection="0"/>
    <xf numFmtId="0" fontId="27" fillId="0" borderId="23" applyNumberFormat="0" applyFill="0" applyAlignment="0" applyProtection="0"/>
    <xf numFmtId="0" fontId="28" fillId="0" borderId="24" applyNumberFormat="0" applyFill="0" applyAlignment="0" applyProtection="0"/>
    <xf numFmtId="0" fontId="28" fillId="0" borderId="0" applyNumberFormat="0" applyFill="0" applyBorder="0" applyAlignment="0" applyProtection="0"/>
    <xf numFmtId="0" fontId="19" fillId="0" borderId="25" applyNumberFormat="0" applyFill="0" applyAlignment="0" applyProtection="0"/>
    <xf numFmtId="0" fontId="7" fillId="23" borderId="2" applyNumberFormat="0" applyAlignment="0" applyProtection="0"/>
    <xf numFmtId="0" fontId="29" fillId="0" borderId="0" applyNumberFormat="0" applyFill="0" applyBorder="0" applyAlignment="0" applyProtection="0"/>
    <xf numFmtId="0" fontId="15" fillId="11" borderId="0" applyNumberFormat="0" applyBorder="0" applyAlignment="0" applyProtection="0"/>
    <xf numFmtId="0" fontId="0" fillId="22" borderId="0">
      <alignment/>
      <protection/>
    </xf>
    <xf numFmtId="0" fontId="1" fillId="22" borderId="0">
      <alignment/>
      <protection/>
    </xf>
    <xf numFmtId="0" fontId="30"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31" fillId="0" borderId="6" applyNumberFormat="0" applyFill="0" applyAlignment="0" applyProtection="0"/>
    <xf numFmtId="0" fontId="2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9" fillId="7" borderId="0" applyNumberFormat="0" applyBorder="0" applyAlignment="0" applyProtection="0"/>
  </cellStyleXfs>
  <cellXfs count="112">
    <xf numFmtId="0" fontId="0" fillId="0" borderId="0" xfId="0" applyAlignment="1">
      <alignment/>
    </xf>
    <xf numFmtId="0" fontId="32" fillId="0" borderId="0" xfId="0" applyFont="1" applyFill="1" applyAlignment="1">
      <alignment horizontal="left"/>
    </xf>
    <xf numFmtId="0" fontId="32" fillId="0" borderId="0" xfId="0" applyFont="1" applyFill="1" applyAlignment="1">
      <alignment horizontal="center"/>
    </xf>
    <xf numFmtId="0" fontId="0" fillId="0" borderId="0" xfId="0" applyFont="1" applyFill="1" applyAlignment="1">
      <alignment horizontal="left"/>
    </xf>
    <xf numFmtId="0" fontId="0" fillId="0" borderId="0" xfId="0" applyFill="1" applyBorder="1" applyAlignment="1">
      <alignment horizontal="left"/>
    </xf>
    <xf numFmtId="0" fontId="0" fillId="0" borderId="0" xfId="0" applyFill="1" applyAlignment="1">
      <alignment horizontal="left"/>
    </xf>
    <xf numFmtId="0" fontId="33" fillId="0" borderId="0" xfId="0" applyFont="1" applyFill="1" applyAlignment="1">
      <alignment horizontal="left"/>
    </xf>
    <xf numFmtId="0" fontId="34" fillId="0" borderId="0" xfId="0" applyFont="1" applyFill="1" applyBorder="1" applyAlignment="1">
      <alignment horizontal="left" wrapText="1"/>
    </xf>
    <xf numFmtId="0" fontId="33" fillId="0" borderId="0" xfId="0" applyFont="1" applyFill="1" applyAlignment="1">
      <alignment horizontal="center"/>
    </xf>
    <xf numFmtId="0" fontId="33" fillId="0" borderId="0" xfId="0" applyFont="1" applyFill="1" applyAlignment="1">
      <alignment/>
    </xf>
    <xf numFmtId="0" fontId="33" fillId="0" borderId="0" xfId="0" applyFont="1" applyFill="1" applyAlignment="1">
      <alignment/>
    </xf>
    <xf numFmtId="0" fontId="33" fillId="0" borderId="0" xfId="0" applyFont="1" applyFill="1" applyAlignment="1">
      <alignment horizontal="right"/>
    </xf>
    <xf numFmtId="49" fontId="36" fillId="0" borderId="11" xfId="0" applyNumberFormat="1" applyFont="1" applyFill="1" applyBorder="1" applyAlignment="1">
      <alignment horizontal="center" vertical="center" wrapText="1"/>
    </xf>
    <xf numFmtId="49" fontId="37" fillId="0" borderId="11"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0" xfId="0" applyFont="1" applyFill="1" applyBorder="1" applyAlignment="1">
      <alignment horizontal="left"/>
    </xf>
    <xf numFmtId="0" fontId="38" fillId="0" borderId="0" xfId="0" applyFont="1" applyFill="1" applyAlignment="1">
      <alignment horizontal="left"/>
    </xf>
    <xf numFmtId="49" fontId="36" fillId="0" borderId="11" xfId="0" applyNumberFormat="1" applyFont="1" applyFill="1" applyBorder="1" applyAlignment="1">
      <alignment horizontal="left" wrapText="1"/>
    </xf>
    <xf numFmtId="49" fontId="36" fillId="0" borderId="11" xfId="0" applyNumberFormat="1" applyFont="1" applyFill="1" applyBorder="1" applyAlignment="1">
      <alignment horizontal="center" wrapText="1"/>
    </xf>
    <xf numFmtId="4" fontId="36" fillId="0" borderId="11" xfId="0" applyNumberFormat="1" applyFont="1" applyFill="1" applyBorder="1" applyAlignment="1">
      <alignment/>
    </xf>
    <xf numFmtId="49" fontId="39" fillId="0" borderId="11" xfId="0" applyNumberFormat="1" applyFont="1" applyFill="1" applyBorder="1" applyAlignment="1">
      <alignment horizontal="left" wrapText="1"/>
    </xf>
    <xf numFmtId="49" fontId="39" fillId="0" borderId="11" xfId="0" applyNumberFormat="1" applyFont="1" applyFill="1" applyBorder="1" applyAlignment="1">
      <alignment horizontal="center" wrapText="1"/>
    </xf>
    <xf numFmtId="4" fontId="39" fillId="0" borderId="11" xfId="0" applyNumberFormat="1" applyFont="1" applyFill="1" applyBorder="1" applyAlignment="1">
      <alignment/>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wrapText="1"/>
    </xf>
    <xf numFmtId="4" fontId="33" fillId="0" borderId="11" xfId="0" applyNumberFormat="1" applyFont="1" applyFill="1" applyBorder="1" applyAlignment="1">
      <alignment/>
    </xf>
    <xf numFmtId="0" fontId="33" fillId="0" borderId="11" xfId="0" applyFont="1" applyFill="1" applyBorder="1" applyAlignment="1">
      <alignment horizontal="center" wrapText="1"/>
    </xf>
    <xf numFmtId="4" fontId="33" fillId="0" borderId="11" xfId="0" applyNumberFormat="1" applyFont="1" applyFill="1" applyBorder="1" applyAlignment="1">
      <alignment wrapText="1"/>
    </xf>
    <xf numFmtId="0" fontId="40" fillId="0" borderId="11" xfId="0" applyFont="1" applyFill="1" applyBorder="1" applyAlignment="1">
      <alignment horizontal="left" wrapText="1"/>
    </xf>
    <xf numFmtId="4" fontId="0" fillId="0" borderId="0" xfId="0" applyNumberFormat="1" applyFont="1" applyFill="1" applyAlignment="1">
      <alignment horizontal="left"/>
    </xf>
    <xf numFmtId="0" fontId="33" fillId="0" borderId="11" xfId="0" applyFont="1" applyFill="1" applyBorder="1" applyAlignment="1">
      <alignment horizontal="justify" wrapText="1"/>
    </xf>
    <xf numFmtId="0" fontId="33" fillId="0" borderId="11" xfId="0" applyFont="1" applyFill="1" applyBorder="1" applyAlignment="1">
      <alignment horizontal="left" wrapText="1"/>
    </xf>
    <xf numFmtId="0" fontId="0" fillId="0" borderId="0" xfId="0" applyFont="1" applyFill="1" applyBorder="1" applyAlignment="1">
      <alignment horizontal="left"/>
    </xf>
    <xf numFmtId="49" fontId="33" fillId="22" borderId="11" xfId="0" applyNumberFormat="1" applyFont="1" applyFill="1" applyBorder="1" applyAlignment="1">
      <alignment horizontal="center" wrapText="1"/>
    </xf>
    <xf numFmtId="49" fontId="33" fillId="22" borderId="11" xfId="0" applyNumberFormat="1" applyFont="1" applyFill="1" applyBorder="1" applyAlignment="1">
      <alignment horizontal="left" wrapText="1"/>
    </xf>
    <xf numFmtId="0" fontId="40" fillId="22" borderId="11" xfId="0" applyFont="1" applyFill="1" applyBorder="1" applyAlignment="1">
      <alignment horizontal="left" wrapText="1"/>
    </xf>
    <xf numFmtId="0" fontId="33" fillId="22" borderId="11" xfId="0" applyFont="1" applyFill="1" applyBorder="1" applyAlignment="1">
      <alignment horizontal="center" wrapText="1"/>
    </xf>
    <xf numFmtId="4" fontId="33" fillId="22" borderId="11" xfId="0" applyNumberFormat="1" applyFont="1" applyFill="1" applyBorder="1" applyAlignment="1">
      <alignment wrapText="1"/>
    </xf>
    <xf numFmtId="0" fontId="0" fillId="22" borderId="0" xfId="0" applyFont="1" applyFill="1" applyAlignment="1">
      <alignment horizontal="left"/>
    </xf>
    <xf numFmtId="0" fontId="0" fillId="22" borderId="0" xfId="0" applyFont="1" applyFill="1" applyBorder="1" applyAlignment="1">
      <alignment horizontal="left"/>
    </xf>
    <xf numFmtId="4" fontId="33" fillId="22" borderId="11" xfId="0" applyNumberFormat="1" applyFont="1" applyFill="1" applyBorder="1" applyAlignment="1">
      <alignment horizontal="right" wrapText="1"/>
    </xf>
    <xf numFmtId="0" fontId="0" fillId="22" borderId="0" xfId="0" applyFill="1" applyBorder="1" applyAlignment="1">
      <alignment horizontal="left"/>
    </xf>
    <xf numFmtId="0" fontId="0" fillId="22" borderId="0" xfId="0" applyFill="1" applyAlignment="1">
      <alignment horizontal="left"/>
    </xf>
    <xf numFmtId="0" fontId="38" fillId="22" borderId="0" xfId="0" applyFont="1" applyFill="1" applyBorder="1" applyAlignment="1">
      <alignment horizontal="left"/>
    </xf>
    <xf numFmtId="0" fontId="38" fillId="22" borderId="0" xfId="0" applyFont="1" applyFill="1" applyAlignment="1">
      <alignment horizontal="left"/>
    </xf>
    <xf numFmtId="0" fontId="41" fillId="0" borderId="11" xfId="0" applyFont="1" applyFill="1" applyBorder="1" applyAlignment="1">
      <alignment horizontal="left" wrapText="1"/>
    </xf>
    <xf numFmtId="0" fontId="39" fillId="0" borderId="11" xfId="0" applyFont="1" applyFill="1" applyBorder="1" applyAlignment="1">
      <alignment horizontal="center" wrapText="1"/>
    </xf>
    <xf numFmtId="4" fontId="39" fillId="0" borderId="11" xfId="0" applyNumberFormat="1" applyFont="1" applyFill="1" applyBorder="1" applyAlignment="1">
      <alignment wrapText="1"/>
    </xf>
    <xf numFmtId="0" fontId="33" fillId="22" borderId="11" xfId="0" applyFont="1" applyFill="1" applyBorder="1" applyAlignment="1">
      <alignment horizontal="left" wrapText="1"/>
    </xf>
    <xf numFmtId="4" fontId="33" fillId="0" borderId="11" xfId="0" applyNumberFormat="1" applyFont="1" applyFill="1" applyBorder="1" applyAlignment="1">
      <alignment horizontal="right" wrapText="1"/>
    </xf>
    <xf numFmtId="0" fontId="41" fillId="0" borderId="11" xfId="98" applyFont="1" applyAlignment="1" applyProtection="1">
      <alignment wrapText="1"/>
      <protection/>
    </xf>
    <xf numFmtId="49" fontId="41" fillId="0" borderId="11" xfId="89" applyFont="1" applyAlignment="1" applyProtection="1">
      <alignment horizontal="center" shrinkToFit="1"/>
      <protection/>
    </xf>
    <xf numFmtId="4" fontId="39" fillId="0" borderId="11" xfId="0" applyNumberFormat="1" applyFont="1" applyBorder="1" applyAlignment="1">
      <alignment wrapText="1"/>
    </xf>
    <xf numFmtId="4" fontId="39" fillId="0" borderId="11" xfId="0" applyNumberFormat="1" applyFont="1" applyBorder="1" applyAlignment="1">
      <alignment/>
    </xf>
    <xf numFmtId="0" fontId="40" fillId="0" borderId="11" xfId="98" applyFont="1" applyAlignment="1" applyProtection="1">
      <alignment wrapText="1"/>
      <protection/>
    </xf>
    <xf numFmtId="49" fontId="40" fillId="0" borderId="11" xfId="89" applyFont="1" applyAlignment="1" applyProtection="1">
      <alignment horizontal="center" shrinkToFit="1"/>
      <protection/>
    </xf>
    <xf numFmtId="4" fontId="33" fillId="0" borderId="11" xfId="0" applyNumberFormat="1" applyFont="1" applyBorder="1" applyAlignment="1">
      <alignment wrapText="1"/>
    </xf>
    <xf numFmtId="4" fontId="33" fillId="0" borderId="11" xfId="0" applyNumberFormat="1" applyFont="1" applyBorder="1" applyAlignment="1">
      <alignment/>
    </xf>
    <xf numFmtId="4" fontId="33" fillId="0" borderId="11" xfId="0" applyNumberFormat="1" applyFont="1" applyBorder="1" applyAlignment="1">
      <alignment horizontal="right" wrapText="1"/>
    </xf>
    <xf numFmtId="49" fontId="37" fillId="0" borderId="11" xfId="0" applyNumberFormat="1" applyFont="1" applyFill="1" applyBorder="1" applyAlignment="1">
      <alignment horizontal="center" wrapText="1"/>
    </xf>
    <xf numFmtId="49" fontId="33" fillId="0" borderId="11" xfId="0" applyNumberFormat="1" applyFont="1" applyFill="1" applyBorder="1" applyAlignment="1">
      <alignment horizontal="center"/>
    </xf>
    <xf numFmtId="0" fontId="33" fillId="0" borderId="11" xfId="0" applyFont="1" applyFill="1" applyBorder="1" applyAlignment="1">
      <alignment wrapText="1"/>
    </xf>
    <xf numFmtId="0" fontId="40" fillId="0" borderId="11" xfId="131" applyFont="1" applyFill="1" applyBorder="1" applyAlignment="1">
      <alignment horizontal="left" vertical="top" wrapText="1"/>
      <protection/>
    </xf>
    <xf numFmtId="0" fontId="42" fillId="0" borderId="0" xfId="0" applyFont="1" applyFill="1" applyAlignment="1">
      <alignment horizontal="left"/>
    </xf>
    <xf numFmtId="0" fontId="43" fillId="0" borderId="0" xfId="0" applyFont="1" applyFill="1" applyBorder="1" applyAlignment="1">
      <alignment horizontal="left"/>
    </xf>
    <xf numFmtId="0" fontId="43" fillId="0" borderId="0" xfId="0" applyFont="1" applyFill="1" applyAlignment="1">
      <alignment horizontal="left"/>
    </xf>
    <xf numFmtId="4" fontId="36" fillId="0" borderId="11" xfId="0" applyNumberFormat="1" applyFont="1" applyFill="1" applyBorder="1" applyAlignment="1">
      <alignment wrapText="1"/>
    </xf>
    <xf numFmtId="49" fontId="39" fillId="0" borderId="11" xfId="0" applyNumberFormat="1" applyFont="1" applyFill="1" applyBorder="1" applyAlignment="1">
      <alignment horizontal="center"/>
    </xf>
    <xf numFmtId="0" fontId="33" fillId="0" borderId="11" xfId="0" applyFont="1" applyFill="1" applyBorder="1" applyAlignment="1">
      <alignment horizontal="left"/>
    </xf>
    <xf numFmtId="0" fontId="33" fillId="0" borderId="21" xfId="0" applyFont="1" applyFill="1" applyBorder="1" applyAlignment="1">
      <alignment horizontal="left" wrapText="1"/>
    </xf>
    <xf numFmtId="49" fontId="33" fillId="0" borderId="21" xfId="0" applyNumberFormat="1" applyFont="1" applyFill="1" applyBorder="1" applyAlignment="1">
      <alignment horizontal="center"/>
    </xf>
    <xf numFmtId="49" fontId="33" fillId="0" borderId="21" xfId="0" applyNumberFormat="1" applyFont="1" applyFill="1" applyBorder="1" applyAlignment="1">
      <alignment horizontal="center" wrapText="1"/>
    </xf>
    <xf numFmtId="0" fontId="33" fillId="0" borderId="21" xfId="0" applyFont="1" applyFill="1" applyBorder="1" applyAlignment="1">
      <alignment horizontal="center" wrapText="1"/>
    </xf>
    <xf numFmtId="4" fontId="33" fillId="0" borderId="21" xfId="0" applyNumberFormat="1" applyFont="1" applyFill="1" applyBorder="1" applyAlignment="1">
      <alignment wrapText="1"/>
    </xf>
    <xf numFmtId="0" fontId="33" fillId="22" borderId="21" xfId="0" applyFont="1" applyFill="1" applyBorder="1" applyAlignment="1">
      <alignment horizontal="left" wrapText="1"/>
    </xf>
    <xf numFmtId="49" fontId="33" fillId="22" borderId="21" xfId="0" applyNumberFormat="1" applyFont="1" applyFill="1" applyBorder="1" applyAlignment="1">
      <alignment horizontal="center"/>
    </xf>
    <xf numFmtId="49" fontId="33" fillId="22" borderId="21" xfId="0" applyNumberFormat="1" applyFont="1" applyFill="1" applyBorder="1" applyAlignment="1">
      <alignment horizontal="center" wrapText="1"/>
    </xf>
    <xf numFmtId="0" fontId="33" fillId="22" borderId="21" xfId="0" applyFont="1" applyFill="1" applyBorder="1" applyAlignment="1">
      <alignment horizontal="center" wrapText="1"/>
    </xf>
    <xf numFmtId="4" fontId="33" fillId="22" borderId="21" xfId="0" applyNumberFormat="1" applyFont="1" applyFill="1" applyBorder="1" applyAlignment="1">
      <alignment wrapText="1"/>
    </xf>
    <xf numFmtId="49" fontId="33" fillId="22" borderId="11" xfId="0" applyNumberFormat="1" applyFont="1" applyFill="1" applyBorder="1" applyAlignment="1">
      <alignment horizontal="center"/>
    </xf>
    <xf numFmtId="0" fontId="33" fillId="22" borderId="11" xfId="0" applyNumberFormat="1" applyFont="1" applyFill="1" applyBorder="1" applyAlignment="1">
      <alignment horizontal="left" wrapText="1"/>
    </xf>
    <xf numFmtId="0" fontId="40" fillId="0" borderId="11" xfId="0" applyNumberFormat="1" applyFont="1" applyFill="1" applyBorder="1" applyAlignment="1">
      <alignment horizontal="left" wrapText="1"/>
    </xf>
    <xf numFmtId="0" fontId="40" fillId="22" borderId="11" xfId="0" applyNumberFormat="1" applyFont="1" applyFill="1" applyBorder="1" applyAlignment="1">
      <alignment horizontal="left" wrapText="1"/>
    </xf>
    <xf numFmtId="0" fontId="36" fillId="0" borderId="11" xfId="0" applyFont="1" applyFill="1" applyBorder="1" applyAlignment="1">
      <alignment horizontal="center" wrapText="1"/>
    </xf>
    <xf numFmtId="0" fontId="33" fillId="22" borderId="26" xfId="0" applyFont="1" applyFill="1" applyBorder="1" applyAlignment="1">
      <alignment horizontal="center" wrapText="1"/>
    </xf>
    <xf numFmtId="0" fontId="33" fillId="0" borderId="26" xfId="0" applyFont="1" applyFill="1" applyBorder="1" applyAlignment="1">
      <alignment horizontal="center" wrapText="1"/>
    </xf>
    <xf numFmtId="0" fontId="33" fillId="0" borderId="11" xfId="0" applyFont="1" applyBorder="1" applyAlignment="1">
      <alignment horizontal="left" wrapText="1"/>
    </xf>
    <xf numFmtId="49" fontId="33" fillId="0" borderId="11" xfId="0" applyNumberFormat="1" applyFont="1" applyBorder="1" applyAlignment="1">
      <alignment horizontal="center" wrapText="1"/>
    </xf>
    <xf numFmtId="0" fontId="33" fillId="0" borderId="11" xfId="0" applyFont="1" applyBorder="1" applyAlignment="1">
      <alignment horizontal="center" wrapText="1"/>
    </xf>
    <xf numFmtId="0" fontId="33" fillId="0" borderId="26" xfId="0" applyFont="1" applyBorder="1" applyAlignment="1">
      <alignment horizontal="center" wrapText="1"/>
    </xf>
    <xf numFmtId="0" fontId="40" fillId="0" borderId="11" xfId="0" applyFont="1" applyBorder="1" applyAlignment="1">
      <alignment horizontal="left" wrapText="1"/>
    </xf>
    <xf numFmtId="0" fontId="39" fillId="0" borderId="11" xfId="0" applyFont="1" applyFill="1" applyBorder="1" applyAlignment="1">
      <alignment horizontal="left" wrapText="1"/>
    </xf>
    <xf numFmtId="4" fontId="39" fillId="0" borderId="11" xfId="0" applyNumberFormat="1" applyFont="1" applyFill="1" applyBorder="1" applyAlignment="1">
      <alignment horizontal="right" wrapText="1"/>
    </xf>
    <xf numFmtId="0" fontId="33" fillId="22" borderId="11" xfId="0" applyFont="1" applyFill="1" applyBorder="1" applyAlignment="1">
      <alignment wrapText="1"/>
    </xf>
    <xf numFmtId="0" fontId="40" fillId="22" borderId="11" xfId="110" applyNumberFormat="1" applyFont="1" applyFill="1" applyProtection="1">
      <alignment vertical="top" wrapText="1"/>
      <protection/>
    </xf>
    <xf numFmtId="4" fontId="40" fillId="0" borderId="11" xfId="99" applyNumberFormat="1" applyFont="1" applyFill="1" applyBorder="1" applyProtection="1">
      <alignment horizontal="right" vertical="top" shrinkToFit="1"/>
      <protection locked="0"/>
    </xf>
    <xf numFmtId="0" fontId="39" fillId="0" borderId="11" xfId="0" applyNumberFormat="1" applyFont="1" applyFill="1" applyBorder="1" applyAlignment="1">
      <alignment horizontal="left" wrapText="1"/>
    </xf>
    <xf numFmtId="0" fontId="40" fillId="0" borderId="11" xfId="130" applyFont="1" applyFill="1" applyBorder="1" applyAlignment="1">
      <alignment vertical="top" wrapText="1"/>
      <protection/>
    </xf>
    <xf numFmtId="0" fontId="44" fillId="0" borderId="0" xfId="0" applyFont="1" applyFill="1" applyAlignment="1">
      <alignment horizontal="left"/>
    </xf>
    <xf numFmtId="0" fontId="44" fillId="0" borderId="0" xfId="0" applyFont="1" applyFill="1" applyBorder="1" applyAlignment="1">
      <alignment horizontal="left"/>
    </xf>
    <xf numFmtId="0" fontId="44" fillId="22" borderId="0" xfId="0" applyFont="1" applyFill="1" applyAlignment="1">
      <alignment horizontal="left"/>
    </xf>
    <xf numFmtId="0" fontId="44" fillId="22" borderId="0" xfId="0" applyFont="1" applyFill="1" applyBorder="1" applyAlignment="1">
      <alignment horizontal="left"/>
    </xf>
    <xf numFmtId="0" fontId="45" fillId="0" borderId="11" xfId="0" applyFont="1" applyFill="1" applyBorder="1" applyAlignment="1">
      <alignment horizontal="left" wrapText="1"/>
    </xf>
    <xf numFmtId="0" fontId="46" fillId="0" borderId="11" xfId="0" applyFont="1" applyFill="1" applyBorder="1" applyAlignment="1">
      <alignment/>
    </xf>
    <xf numFmtId="0" fontId="47" fillId="0" borderId="11" xfId="0" applyFont="1" applyFill="1" applyBorder="1" applyAlignment="1">
      <alignment/>
    </xf>
    <xf numFmtId="0" fontId="47" fillId="0" borderId="11" xfId="0" applyFont="1" applyFill="1" applyBorder="1" applyAlignment="1">
      <alignment/>
    </xf>
    <xf numFmtId="4" fontId="46" fillId="0" borderId="11" xfId="0" applyNumberFormat="1" applyFont="1" applyFill="1" applyBorder="1" applyAlignment="1">
      <alignment/>
    </xf>
    <xf numFmtId="0" fontId="48" fillId="0" borderId="0" xfId="0" applyFont="1" applyFill="1" applyAlignment="1">
      <alignment horizontal="left"/>
    </xf>
    <xf numFmtId="0" fontId="49" fillId="0" borderId="0" xfId="0" applyFont="1" applyFill="1" applyAlignment="1">
      <alignment horizontal="left"/>
    </xf>
    <xf numFmtId="0" fontId="48" fillId="0" borderId="0" xfId="0" applyFont="1" applyFill="1" applyBorder="1" applyAlignment="1">
      <alignment horizontal="left"/>
    </xf>
    <xf numFmtId="0" fontId="34" fillId="0" borderId="0" xfId="0" applyFont="1" applyFill="1" applyBorder="1" applyAlignment="1">
      <alignment horizontal="left" wrapText="1"/>
    </xf>
    <xf numFmtId="0" fontId="35"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1010"/>
  <sheetViews>
    <sheetView tabSelected="1" view="pageBreakPreview" zoomScale="90" zoomScaleNormal="90" zoomScaleSheetLayoutView="90" zoomScalePageLayoutView="0" workbookViewId="0" topLeftCell="A423">
      <selection activeCell="B432" sqref="B432"/>
    </sheetView>
  </sheetViews>
  <sheetFormatPr defaultColWidth="8.875" defaultRowHeight="12.75"/>
  <cols>
    <col min="1" max="1" width="61.50390625" style="1" customWidth="1"/>
    <col min="2" max="2" width="8.50390625" style="1" customWidth="1"/>
    <col min="3" max="3" width="18.125" style="2" customWidth="1"/>
    <col min="4" max="4" width="7.50390625" style="2" customWidth="1"/>
    <col min="5" max="5" width="20.50390625" style="2" customWidth="1"/>
    <col min="6" max="7" width="20.875" style="2" customWidth="1"/>
    <col min="8" max="8" width="19.00390625" style="3" customWidth="1"/>
    <col min="9" max="9" width="16.50390625" style="4" customWidth="1"/>
    <col min="10" max="34" width="8.875" style="4" customWidth="1"/>
    <col min="35" max="16384" width="8.875" style="5" customWidth="1"/>
  </cols>
  <sheetData>
    <row r="1" spans="1:7" ht="61.5" customHeight="1">
      <c r="A1" s="6"/>
      <c r="B1" s="6"/>
      <c r="C1" s="7"/>
      <c r="D1" s="7"/>
      <c r="E1" s="110" t="s">
        <v>643</v>
      </c>
      <c r="F1" s="110"/>
      <c r="G1" s="110"/>
    </row>
    <row r="2" spans="1:7" ht="15.75" customHeight="1">
      <c r="A2" s="6"/>
      <c r="B2" s="6"/>
      <c r="C2" s="7"/>
      <c r="D2" s="7"/>
      <c r="E2" s="110" t="s">
        <v>644</v>
      </c>
      <c r="F2" s="110"/>
      <c r="G2" s="110"/>
    </row>
    <row r="3" spans="1:7" ht="15">
      <c r="A3" s="6"/>
      <c r="B3" s="6"/>
      <c r="C3" s="8"/>
      <c r="D3" s="8"/>
      <c r="E3" s="8"/>
      <c r="F3" s="8"/>
      <c r="G3" s="8"/>
    </row>
    <row r="4" spans="1:7" ht="57" customHeight="1">
      <c r="A4" s="111" t="s">
        <v>645</v>
      </c>
      <c r="B4" s="111"/>
      <c r="C4" s="111"/>
      <c r="D4" s="111"/>
      <c r="E4" s="111"/>
      <c r="F4" s="111"/>
      <c r="G4" s="111"/>
    </row>
    <row r="5" spans="1:7" ht="22.5" customHeight="1">
      <c r="A5" s="9"/>
      <c r="B5" s="10"/>
      <c r="C5" s="9"/>
      <c r="D5" s="9"/>
      <c r="E5" s="9"/>
      <c r="F5" s="9"/>
      <c r="G5" s="11" t="s">
        <v>646</v>
      </c>
    </row>
    <row r="6" spans="1:34" s="16" customFormat="1" ht="54.75" customHeight="1">
      <c r="A6" s="12" t="s">
        <v>647</v>
      </c>
      <c r="B6" s="13" t="s">
        <v>648</v>
      </c>
      <c r="C6" s="13" t="s">
        <v>649</v>
      </c>
      <c r="D6" s="13" t="s">
        <v>650</v>
      </c>
      <c r="E6" s="14" t="s">
        <v>651</v>
      </c>
      <c r="F6" s="14" t="s">
        <v>652</v>
      </c>
      <c r="G6" s="14" t="s">
        <v>653</v>
      </c>
      <c r="H6" s="3"/>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s="16" customFormat="1" ht="15">
      <c r="A7" s="17" t="s">
        <v>654</v>
      </c>
      <c r="B7" s="18" t="s">
        <v>655</v>
      </c>
      <c r="C7" s="18"/>
      <c r="D7" s="18"/>
      <c r="E7" s="19">
        <f>SUM(E16,E58,E52,E88,E97,E8,E78)</f>
        <v>458356161.15</v>
      </c>
      <c r="F7" s="19">
        <f>SUM(F16,F58,F52,F88,F97,F8,F78)</f>
        <v>64085671.3</v>
      </c>
      <c r="G7" s="19">
        <f aca="true" t="shared" si="0" ref="G7:G81">SUM(E7:F7)</f>
        <v>522441832.45</v>
      </c>
      <c r="H7" s="3"/>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s="16" customFormat="1" ht="48">
      <c r="A8" s="20" t="s">
        <v>656</v>
      </c>
      <c r="B8" s="21" t="s">
        <v>657</v>
      </c>
      <c r="C8" s="21"/>
      <c r="D8" s="21"/>
      <c r="E8" s="22">
        <f>E9</f>
        <v>34587522</v>
      </c>
      <c r="F8" s="22">
        <f>F9</f>
        <v>0</v>
      </c>
      <c r="G8" s="22">
        <f t="shared" si="0"/>
        <v>34587522</v>
      </c>
      <c r="H8" s="3"/>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s="16" customFormat="1" ht="30.75">
      <c r="A9" s="23" t="s">
        <v>658</v>
      </c>
      <c r="B9" s="24" t="s">
        <v>657</v>
      </c>
      <c r="C9" s="24" t="s">
        <v>659</v>
      </c>
      <c r="D9" s="24"/>
      <c r="E9" s="25">
        <f>SUM(E10,E12,E14)</f>
        <v>34587522</v>
      </c>
      <c r="F9" s="25">
        <f>SUM(F10,F12,F14)</f>
        <v>0</v>
      </c>
      <c r="G9" s="25">
        <f t="shared" si="0"/>
        <v>34587522</v>
      </c>
      <c r="H9" s="3"/>
      <c r="I9" s="15"/>
      <c r="J9" s="15"/>
      <c r="K9" s="15"/>
      <c r="L9" s="15"/>
      <c r="M9" s="15"/>
      <c r="N9" s="15"/>
      <c r="O9" s="15"/>
      <c r="P9" s="15"/>
      <c r="Q9" s="15"/>
      <c r="R9" s="15"/>
      <c r="S9" s="15"/>
      <c r="T9" s="15"/>
      <c r="U9" s="15"/>
      <c r="V9" s="15"/>
      <c r="W9" s="15"/>
      <c r="X9" s="15"/>
      <c r="Y9" s="15"/>
      <c r="Z9" s="15"/>
      <c r="AA9" s="15"/>
      <c r="AB9" s="15"/>
      <c r="AC9" s="15"/>
      <c r="AD9" s="15"/>
      <c r="AE9" s="15"/>
      <c r="AF9" s="15"/>
      <c r="AG9" s="15"/>
      <c r="AH9" s="15"/>
    </row>
    <row r="10" spans="1:34" s="16" customFormat="1" ht="69" customHeight="1">
      <c r="A10" s="23" t="s">
        <v>660</v>
      </c>
      <c r="B10" s="24" t="s">
        <v>657</v>
      </c>
      <c r="C10" s="26" t="s">
        <v>659</v>
      </c>
      <c r="D10" s="24" t="s">
        <v>661</v>
      </c>
      <c r="E10" s="27">
        <f>E11</f>
        <v>30642522</v>
      </c>
      <c r="F10" s="27">
        <f>F11</f>
        <v>0</v>
      </c>
      <c r="G10" s="25">
        <f t="shared" si="0"/>
        <v>30642522</v>
      </c>
      <c r="H10" s="3"/>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row>
    <row r="11" spans="1:34" s="16" customFormat="1" ht="30.75">
      <c r="A11" s="23" t="s">
        <v>662</v>
      </c>
      <c r="B11" s="24" t="s">
        <v>657</v>
      </c>
      <c r="C11" s="26" t="s">
        <v>659</v>
      </c>
      <c r="D11" s="24" t="s">
        <v>663</v>
      </c>
      <c r="E11" s="27">
        <v>30642522</v>
      </c>
      <c r="F11" s="27">
        <v>0</v>
      </c>
      <c r="G11" s="25">
        <f t="shared" si="0"/>
        <v>30642522</v>
      </c>
      <c r="H11" s="3"/>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row>
    <row r="12" spans="1:34" s="16" customFormat="1" ht="30.75">
      <c r="A12" s="28" t="s">
        <v>664</v>
      </c>
      <c r="B12" s="24" t="s">
        <v>657</v>
      </c>
      <c r="C12" s="26" t="s">
        <v>659</v>
      </c>
      <c r="D12" s="24" t="s">
        <v>665</v>
      </c>
      <c r="E12" s="27">
        <f>E13</f>
        <v>3920000</v>
      </c>
      <c r="F12" s="27">
        <f>F13</f>
        <v>0</v>
      </c>
      <c r="G12" s="25">
        <f t="shared" si="0"/>
        <v>3920000</v>
      </c>
      <c r="H12" s="3"/>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34" s="16" customFormat="1" ht="30.75">
      <c r="A13" s="28" t="s">
        <v>666</v>
      </c>
      <c r="B13" s="24" t="s">
        <v>657</v>
      </c>
      <c r="C13" s="26" t="s">
        <v>659</v>
      </c>
      <c r="D13" s="24" t="s">
        <v>667</v>
      </c>
      <c r="E13" s="27">
        <v>3920000</v>
      </c>
      <c r="F13" s="27">
        <v>0</v>
      </c>
      <c r="G13" s="25">
        <f t="shared" si="0"/>
        <v>3920000</v>
      </c>
      <c r="H13" s="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spans="1:34" s="16" customFormat="1" ht="15">
      <c r="A14" s="28" t="s">
        <v>668</v>
      </c>
      <c r="B14" s="24" t="s">
        <v>657</v>
      </c>
      <c r="C14" s="26" t="s">
        <v>659</v>
      </c>
      <c r="D14" s="24" t="s">
        <v>669</v>
      </c>
      <c r="E14" s="27">
        <f>E15</f>
        <v>25000</v>
      </c>
      <c r="F14" s="27">
        <f>F15</f>
        <v>0</v>
      </c>
      <c r="G14" s="25">
        <f t="shared" si="0"/>
        <v>25000</v>
      </c>
      <c r="H14" s="3"/>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row>
    <row r="15" spans="1:34" s="16" customFormat="1" ht="15">
      <c r="A15" s="28" t="s">
        <v>670</v>
      </c>
      <c r="B15" s="24" t="s">
        <v>657</v>
      </c>
      <c r="C15" s="26" t="s">
        <v>659</v>
      </c>
      <c r="D15" s="24" t="s">
        <v>671</v>
      </c>
      <c r="E15" s="27">
        <v>25000</v>
      </c>
      <c r="F15" s="27">
        <v>0</v>
      </c>
      <c r="G15" s="25">
        <f t="shared" si="0"/>
        <v>25000</v>
      </c>
      <c r="H15" s="3"/>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row>
    <row r="16" spans="1:34" s="16" customFormat="1" ht="64.5">
      <c r="A16" s="20" t="s">
        <v>672</v>
      </c>
      <c r="B16" s="21" t="s">
        <v>673</v>
      </c>
      <c r="C16" s="21"/>
      <c r="D16" s="21"/>
      <c r="E16" s="22">
        <f>E17</f>
        <v>215834110</v>
      </c>
      <c r="F16" s="22">
        <f>F17</f>
        <v>6989410</v>
      </c>
      <c r="G16" s="22">
        <f t="shared" si="0"/>
        <v>222823520</v>
      </c>
      <c r="H16" s="29"/>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7" spans="1:34" s="16" customFormat="1" ht="15.75">
      <c r="A17" s="30" t="s">
        <v>674</v>
      </c>
      <c r="B17" s="24" t="s">
        <v>673</v>
      </c>
      <c r="C17" s="26" t="s">
        <v>675</v>
      </c>
      <c r="D17" s="21"/>
      <c r="E17" s="25">
        <f>SUM(E18)</f>
        <v>215834110</v>
      </c>
      <c r="F17" s="25">
        <f>SUM(F18)</f>
        <v>6989410</v>
      </c>
      <c r="G17" s="25">
        <f t="shared" si="0"/>
        <v>222823520</v>
      </c>
      <c r="H17" s="3"/>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row>
    <row r="18" spans="1:34" s="3" customFormat="1" ht="15">
      <c r="A18" s="31" t="s">
        <v>676</v>
      </c>
      <c r="B18" s="24" t="s">
        <v>673</v>
      </c>
      <c r="C18" s="26" t="s">
        <v>677</v>
      </c>
      <c r="D18" s="26"/>
      <c r="E18" s="27">
        <f>SUM(E25,E28,E33,E40,E22,E19,E49)</f>
        <v>215834110</v>
      </c>
      <c r="F18" s="27">
        <f>SUM(F25,F28,F33,F40,F22,F19,F49)</f>
        <v>6989410</v>
      </c>
      <c r="G18" s="25">
        <f t="shared" si="0"/>
        <v>222823520</v>
      </c>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row>
    <row r="19" spans="1:34" s="3" customFormat="1" ht="46.5">
      <c r="A19" s="31" t="s">
        <v>623</v>
      </c>
      <c r="B19" s="33" t="s">
        <v>673</v>
      </c>
      <c r="C19" s="26" t="s">
        <v>622</v>
      </c>
      <c r="D19" s="26"/>
      <c r="E19" s="27">
        <f>E20</f>
        <v>0</v>
      </c>
      <c r="F19" s="27">
        <f>F20</f>
        <v>115300</v>
      </c>
      <c r="G19" s="25">
        <f t="shared" si="0"/>
        <v>115300</v>
      </c>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row>
    <row r="20" spans="1:34" s="3" customFormat="1" ht="66" customHeight="1">
      <c r="A20" s="34" t="s">
        <v>660</v>
      </c>
      <c r="B20" s="33" t="s">
        <v>673</v>
      </c>
      <c r="C20" s="26" t="s">
        <v>622</v>
      </c>
      <c r="D20" s="33" t="s">
        <v>661</v>
      </c>
      <c r="E20" s="27">
        <f>E21</f>
        <v>0</v>
      </c>
      <c r="F20" s="27">
        <f>F21</f>
        <v>115300</v>
      </c>
      <c r="G20" s="25">
        <f t="shared" si="0"/>
        <v>115300</v>
      </c>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row>
    <row r="21" spans="1:34" s="3" customFormat="1" ht="30.75">
      <c r="A21" s="34" t="s">
        <v>662</v>
      </c>
      <c r="B21" s="33" t="s">
        <v>673</v>
      </c>
      <c r="C21" s="26" t="s">
        <v>622</v>
      </c>
      <c r="D21" s="33" t="s">
        <v>663</v>
      </c>
      <c r="E21" s="27">
        <v>0</v>
      </c>
      <c r="F21" s="27">
        <v>115300</v>
      </c>
      <c r="G21" s="25">
        <f t="shared" si="0"/>
        <v>115300</v>
      </c>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row>
    <row r="22" spans="1:34" s="3" customFormat="1" ht="50.25" customHeight="1">
      <c r="A22" s="31" t="s">
        <v>678</v>
      </c>
      <c r="B22" s="33" t="s">
        <v>673</v>
      </c>
      <c r="C22" s="26" t="s">
        <v>679</v>
      </c>
      <c r="D22" s="26"/>
      <c r="E22" s="27">
        <f>E23</f>
        <v>2140508</v>
      </c>
      <c r="F22" s="27">
        <f>F23</f>
        <v>0</v>
      </c>
      <c r="G22" s="25">
        <f t="shared" si="0"/>
        <v>2140508</v>
      </c>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row>
    <row r="23" spans="1:34" s="3" customFormat="1" ht="72" customHeight="1">
      <c r="A23" s="34" t="s">
        <v>660</v>
      </c>
      <c r="B23" s="33" t="s">
        <v>673</v>
      </c>
      <c r="C23" s="26" t="s">
        <v>679</v>
      </c>
      <c r="D23" s="33" t="s">
        <v>661</v>
      </c>
      <c r="E23" s="27">
        <f>E24</f>
        <v>2140508</v>
      </c>
      <c r="F23" s="27">
        <f>F24</f>
        <v>0</v>
      </c>
      <c r="G23" s="25">
        <f t="shared" si="0"/>
        <v>2140508</v>
      </c>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row>
    <row r="24" spans="1:34" s="3" customFormat="1" ht="30.75">
      <c r="A24" s="34" t="s">
        <v>662</v>
      </c>
      <c r="B24" s="33" t="s">
        <v>673</v>
      </c>
      <c r="C24" s="26" t="s">
        <v>679</v>
      </c>
      <c r="D24" s="33" t="s">
        <v>663</v>
      </c>
      <c r="E24" s="27">
        <v>2140508</v>
      </c>
      <c r="F24" s="27">
        <v>0</v>
      </c>
      <c r="G24" s="25">
        <f t="shared" si="0"/>
        <v>2140508</v>
      </c>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row>
    <row r="25" spans="1:34" s="38" customFormat="1" ht="15">
      <c r="A25" s="35" t="s">
        <v>680</v>
      </c>
      <c r="B25" s="33" t="s">
        <v>673</v>
      </c>
      <c r="C25" s="36" t="s">
        <v>681</v>
      </c>
      <c r="D25" s="33"/>
      <c r="E25" s="37">
        <f>E26</f>
        <v>425278</v>
      </c>
      <c r="F25" s="37">
        <f>F26</f>
        <v>0</v>
      </c>
      <c r="G25" s="25">
        <f t="shared" si="0"/>
        <v>425278</v>
      </c>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row>
    <row r="26" spans="1:34" s="38" customFormat="1" ht="30.75">
      <c r="A26" s="35" t="s">
        <v>664</v>
      </c>
      <c r="B26" s="33" t="s">
        <v>673</v>
      </c>
      <c r="C26" s="36" t="s">
        <v>681</v>
      </c>
      <c r="D26" s="33" t="s">
        <v>665</v>
      </c>
      <c r="E26" s="40">
        <f>E27</f>
        <v>425278</v>
      </c>
      <c r="F26" s="40">
        <f>F27</f>
        <v>0</v>
      </c>
      <c r="G26" s="25">
        <f t="shared" si="0"/>
        <v>425278</v>
      </c>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row>
    <row r="27" spans="1:34" s="38" customFormat="1" ht="30.75">
      <c r="A27" s="35" t="s">
        <v>666</v>
      </c>
      <c r="B27" s="33" t="s">
        <v>673</v>
      </c>
      <c r="C27" s="36" t="s">
        <v>681</v>
      </c>
      <c r="D27" s="33" t="s">
        <v>667</v>
      </c>
      <c r="E27" s="40">
        <v>425278</v>
      </c>
      <c r="F27" s="40">
        <v>0</v>
      </c>
      <c r="G27" s="25">
        <f t="shared" si="0"/>
        <v>425278</v>
      </c>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row>
    <row r="28" spans="1:34" s="38" customFormat="1" ht="30.75">
      <c r="A28" s="35" t="s">
        <v>682</v>
      </c>
      <c r="B28" s="33" t="s">
        <v>673</v>
      </c>
      <c r="C28" s="36" t="s">
        <v>683</v>
      </c>
      <c r="D28" s="33"/>
      <c r="E28" s="40">
        <f>SUM(E29,E31)</f>
        <v>6332157</v>
      </c>
      <c r="F28" s="40">
        <f>SUM(F29,F31)</f>
        <v>0</v>
      </c>
      <c r="G28" s="25">
        <f t="shared" si="0"/>
        <v>6332157</v>
      </c>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row>
    <row r="29" spans="1:34" s="38" customFormat="1" ht="68.25" customHeight="1">
      <c r="A29" s="34" t="s">
        <v>660</v>
      </c>
      <c r="B29" s="33" t="s">
        <v>673</v>
      </c>
      <c r="C29" s="36" t="s">
        <v>683</v>
      </c>
      <c r="D29" s="33" t="s">
        <v>661</v>
      </c>
      <c r="E29" s="40">
        <f>E30</f>
        <v>5797000</v>
      </c>
      <c r="F29" s="40">
        <f>F30</f>
        <v>0</v>
      </c>
      <c r="G29" s="25">
        <f t="shared" si="0"/>
        <v>5797000</v>
      </c>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row>
    <row r="30" spans="1:34" s="42" customFormat="1" ht="30.75">
      <c r="A30" s="34" t="s">
        <v>662</v>
      </c>
      <c r="B30" s="33" t="s">
        <v>673</v>
      </c>
      <c r="C30" s="36" t="s">
        <v>683</v>
      </c>
      <c r="D30" s="33" t="s">
        <v>663</v>
      </c>
      <c r="E30" s="40">
        <v>5797000</v>
      </c>
      <c r="F30" s="40">
        <v>0</v>
      </c>
      <c r="G30" s="25">
        <f t="shared" si="0"/>
        <v>5797000</v>
      </c>
      <c r="H30" s="38"/>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s="44" customFormat="1" ht="30.75">
      <c r="A31" s="35" t="s">
        <v>664</v>
      </c>
      <c r="B31" s="33" t="s">
        <v>673</v>
      </c>
      <c r="C31" s="36" t="s">
        <v>683</v>
      </c>
      <c r="D31" s="33" t="s">
        <v>665</v>
      </c>
      <c r="E31" s="37">
        <f>E32</f>
        <v>535157</v>
      </c>
      <c r="F31" s="37">
        <f>F32</f>
        <v>0</v>
      </c>
      <c r="G31" s="25">
        <f t="shared" si="0"/>
        <v>535157</v>
      </c>
      <c r="H31" s="38"/>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row>
    <row r="32" spans="1:34" s="44" customFormat="1" ht="30.75">
      <c r="A32" s="35" t="s">
        <v>666</v>
      </c>
      <c r="B32" s="33" t="s">
        <v>673</v>
      </c>
      <c r="C32" s="36" t="s">
        <v>683</v>
      </c>
      <c r="D32" s="33" t="s">
        <v>667</v>
      </c>
      <c r="E32" s="37">
        <v>535157</v>
      </c>
      <c r="F32" s="37">
        <v>0</v>
      </c>
      <c r="G32" s="25">
        <f t="shared" si="0"/>
        <v>535157</v>
      </c>
      <c r="H32" s="38"/>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s="16" customFormat="1" ht="38.25" customHeight="1">
      <c r="A33" s="31" t="s">
        <v>0</v>
      </c>
      <c r="B33" s="24" t="s">
        <v>673</v>
      </c>
      <c r="C33" s="26" t="s">
        <v>1</v>
      </c>
      <c r="D33" s="26"/>
      <c r="E33" s="27">
        <f>SUM(E34,E36,E38)</f>
        <v>179666667</v>
      </c>
      <c r="F33" s="27">
        <f>SUM(F34,F36,F38)</f>
        <v>-385000</v>
      </c>
      <c r="G33" s="25">
        <f t="shared" si="0"/>
        <v>179281667</v>
      </c>
      <c r="H33" s="3"/>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s="16" customFormat="1" ht="63" customHeight="1">
      <c r="A34" s="23" t="s">
        <v>660</v>
      </c>
      <c r="B34" s="24" t="s">
        <v>673</v>
      </c>
      <c r="C34" s="26" t="s">
        <v>1</v>
      </c>
      <c r="D34" s="24" t="s">
        <v>661</v>
      </c>
      <c r="E34" s="27">
        <f>E35</f>
        <v>167700000</v>
      </c>
      <c r="F34" s="27">
        <f>F35</f>
        <v>-15000</v>
      </c>
      <c r="G34" s="25">
        <f t="shared" si="0"/>
        <v>167685000</v>
      </c>
      <c r="H34" s="3"/>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row>
    <row r="35" spans="1:34" s="16" customFormat="1" ht="30.75">
      <c r="A35" s="23" t="s">
        <v>662</v>
      </c>
      <c r="B35" s="24" t="s">
        <v>673</v>
      </c>
      <c r="C35" s="26" t="s">
        <v>1</v>
      </c>
      <c r="D35" s="24" t="s">
        <v>663</v>
      </c>
      <c r="E35" s="27">
        <v>167700000</v>
      </c>
      <c r="F35" s="27">
        <f>-15000-144114-325000-200000+144114+325000+200000</f>
        <v>-15000</v>
      </c>
      <c r="G35" s="25">
        <f t="shared" si="0"/>
        <v>167685000</v>
      </c>
      <c r="H35" s="3"/>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row>
    <row r="36" spans="1:34" s="16" customFormat="1" ht="30.75">
      <c r="A36" s="28" t="s">
        <v>664</v>
      </c>
      <c r="B36" s="24" t="s">
        <v>673</v>
      </c>
      <c r="C36" s="26" t="s">
        <v>1</v>
      </c>
      <c r="D36" s="24" t="s">
        <v>665</v>
      </c>
      <c r="E36" s="27">
        <f>E37</f>
        <v>11866667</v>
      </c>
      <c r="F36" s="27">
        <f>F37</f>
        <v>-370000</v>
      </c>
      <c r="G36" s="25">
        <f t="shared" si="0"/>
        <v>11496667</v>
      </c>
      <c r="H36" s="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row>
    <row r="37" spans="1:34" s="16" customFormat="1" ht="30.75">
      <c r="A37" s="28" t="s">
        <v>666</v>
      </c>
      <c r="B37" s="24" t="s">
        <v>673</v>
      </c>
      <c r="C37" s="26" t="s">
        <v>1</v>
      </c>
      <c r="D37" s="24" t="s">
        <v>667</v>
      </c>
      <c r="E37" s="27">
        <f>12200000-333333</f>
        <v>11866667</v>
      </c>
      <c r="F37" s="27">
        <v>-370000</v>
      </c>
      <c r="G37" s="25">
        <f t="shared" si="0"/>
        <v>11496667</v>
      </c>
      <c r="H37" s="3"/>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row>
    <row r="38" spans="1:34" s="3" customFormat="1" ht="15">
      <c r="A38" s="28" t="s">
        <v>668</v>
      </c>
      <c r="B38" s="24" t="s">
        <v>673</v>
      </c>
      <c r="C38" s="26" t="s">
        <v>1</v>
      </c>
      <c r="D38" s="24" t="s">
        <v>669</v>
      </c>
      <c r="E38" s="27">
        <f>E39</f>
        <v>100000</v>
      </c>
      <c r="F38" s="27">
        <f>F39</f>
        <v>0</v>
      </c>
      <c r="G38" s="25">
        <f t="shared" si="0"/>
        <v>100000</v>
      </c>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row>
    <row r="39" spans="1:34" s="16" customFormat="1" ht="15">
      <c r="A39" s="28" t="s">
        <v>670</v>
      </c>
      <c r="B39" s="24" t="s">
        <v>673</v>
      </c>
      <c r="C39" s="26" t="s">
        <v>1</v>
      </c>
      <c r="D39" s="24" t="s">
        <v>671</v>
      </c>
      <c r="E39" s="27">
        <v>100000</v>
      </c>
      <c r="F39" s="27">
        <v>0</v>
      </c>
      <c r="G39" s="25">
        <f t="shared" si="0"/>
        <v>100000</v>
      </c>
      <c r="H39" s="3"/>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row>
    <row r="40" spans="1:34" s="16" customFormat="1" ht="37.5" customHeight="1">
      <c r="A40" s="28" t="s">
        <v>2</v>
      </c>
      <c r="B40" s="24" t="s">
        <v>673</v>
      </c>
      <c r="C40" s="26" t="s">
        <v>3</v>
      </c>
      <c r="D40" s="26"/>
      <c r="E40" s="27">
        <f>E41+E43+E47+E45</f>
        <v>27269500</v>
      </c>
      <c r="F40" s="27">
        <f>F41+F43+F47+F45</f>
        <v>370000</v>
      </c>
      <c r="G40" s="25">
        <f t="shared" si="0"/>
        <v>27639500</v>
      </c>
      <c r="H40" s="3"/>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row>
    <row r="41" spans="1:34" s="16" customFormat="1" ht="62.25">
      <c r="A41" s="23" t="s">
        <v>660</v>
      </c>
      <c r="B41" s="24" t="s">
        <v>673</v>
      </c>
      <c r="C41" s="26" t="s">
        <v>3</v>
      </c>
      <c r="D41" s="26">
        <v>100</v>
      </c>
      <c r="E41" s="27">
        <f>E42</f>
        <v>17256000</v>
      </c>
      <c r="F41" s="27">
        <f>F42</f>
        <v>-50000</v>
      </c>
      <c r="G41" s="25">
        <f t="shared" si="0"/>
        <v>17206000</v>
      </c>
      <c r="H41" s="3"/>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row>
    <row r="42" spans="1:34" s="16" customFormat="1" ht="30.75">
      <c r="A42" s="23" t="s">
        <v>662</v>
      </c>
      <c r="B42" s="24" t="s">
        <v>673</v>
      </c>
      <c r="C42" s="26" t="s">
        <v>3</v>
      </c>
      <c r="D42" s="26">
        <v>120</v>
      </c>
      <c r="E42" s="27">
        <v>17256000</v>
      </c>
      <c r="F42" s="27">
        <v>-50000</v>
      </c>
      <c r="G42" s="25">
        <f t="shared" si="0"/>
        <v>17206000</v>
      </c>
      <c r="H42" s="3"/>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row>
    <row r="43" spans="1:34" s="16" customFormat="1" ht="30.75">
      <c r="A43" s="28" t="s">
        <v>664</v>
      </c>
      <c r="B43" s="24" t="s">
        <v>673</v>
      </c>
      <c r="C43" s="26" t="s">
        <v>3</v>
      </c>
      <c r="D43" s="26">
        <v>200</v>
      </c>
      <c r="E43" s="27">
        <f>E44</f>
        <v>10000000</v>
      </c>
      <c r="F43" s="27">
        <f>F44</f>
        <v>365000</v>
      </c>
      <c r="G43" s="25">
        <f t="shared" si="0"/>
        <v>10365000</v>
      </c>
      <c r="H43" s="3"/>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row>
    <row r="44" spans="1:34" s="16" customFormat="1" ht="30.75">
      <c r="A44" s="28" t="s">
        <v>666</v>
      </c>
      <c r="B44" s="24" t="s">
        <v>673</v>
      </c>
      <c r="C44" s="26" t="s">
        <v>3</v>
      </c>
      <c r="D44" s="26">
        <v>240</v>
      </c>
      <c r="E44" s="27">
        <v>10000000</v>
      </c>
      <c r="F44" s="27">
        <f>370000-5000</f>
        <v>365000</v>
      </c>
      <c r="G44" s="25">
        <f t="shared" si="0"/>
        <v>10365000</v>
      </c>
      <c r="H44" s="3"/>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row>
    <row r="45" spans="1:34" s="16" customFormat="1" ht="15">
      <c r="A45" s="31" t="s">
        <v>115</v>
      </c>
      <c r="B45" s="24" t="s">
        <v>673</v>
      </c>
      <c r="C45" s="26" t="s">
        <v>3</v>
      </c>
      <c r="D45" s="26">
        <v>300</v>
      </c>
      <c r="E45" s="27">
        <f>E46</f>
        <v>0</v>
      </c>
      <c r="F45" s="27">
        <f>F46</f>
        <v>50000</v>
      </c>
      <c r="G45" s="25">
        <f t="shared" si="0"/>
        <v>50000</v>
      </c>
      <c r="H45" s="3"/>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row>
    <row r="46" spans="1:34" s="16" customFormat="1" ht="30.75">
      <c r="A46" s="31" t="s">
        <v>116</v>
      </c>
      <c r="B46" s="24" t="s">
        <v>673</v>
      </c>
      <c r="C46" s="26" t="s">
        <v>3</v>
      </c>
      <c r="D46" s="26">
        <v>320</v>
      </c>
      <c r="E46" s="27">
        <v>0</v>
      </c>
      <c r="F46" s="27">
        <v>50000</v>
      </c>
      <c r="G46" s="25">
        <f t="shared" si="0"/>
        <v>50000</v>
      </c>
      <c r="H46" s="3"/>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row>
    <row r="47" spans="1:34" s="16" customFormat="1" ht="15">
      <c r="A47" s="28" t="s">
        <v>668</v>
      </c>
      <c r="B47" s="24" t="s">
        <v>673</v>
      </c>
      <c r="C47" s="26" t="s">
        <v>3</v>
      </c>
      <c r="D47" s="26">
        <v>800</v>
      </c>
      <c r="E47" s="27">
        <f>E48</f>
        <v>13500</v>
      </c>
      <c r="F47" s="27">
        <f>F48</f>
        <v>5000</v>
      </c>
      <c r="G47" s="25">
        <f t="shared" si="0"/>
        <v>18500</v>
      </c>
      <c r="H47" s="3"/>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row>
    <row r="48" spans="1:34" s="16" customFormat="1" ht="15">
      <c r="A48" s="28" t="s">
        <v>670</v>
      </c>
      <c r="B48" s="24" t="s">
        <v>673</v>
      </c>
      <c r="C48" s="26" t="s">
        <v>3</v>
      </c>
      <c r="D48" s="26">
        <v>850</v>
      </c>
      <c r="E48" s="27">
        <v>13500</v>
      </c>
      <c r="F48" s="27">
        <v>5000</v>
      </c>
      <c r="G48" s="25">
        <f t="shared" si="0"/>
        <v>18500</v>
      </c>
      <c r="H48" s="3"/>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row>
    <row r="49" spans="1:34" s="16" customFormat="1" ht="69" customHeight="1">
      <c r="A49" s="28" t="s">
        <v>642</v>
      </c>
      <c r="B49" s="24" t="s">
        <v>673</v>
      </c>
      <c r="C49" s="26" t="s">
        <v>641</v>
      </c>
      <c r="D49" s="26"/>
      <c r="E49" s="27">
        <f>E50</f>
        <v>0</v>
      </c>
      <c r="F49" s="27">
        <f>F50</f>
        <v>6889110</v>
      </c>
      <c r="G49" s="25">
        <f t="shared" si="0"/>
        <v>6889110</v>
      </c>
      <c r="H49" s="3"/>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row>
    <row r="50" spans="1:34" s="16" customFormat="1" ht="68.25" customHeight="1">
      <c r="A50" s="23" t="s">
        <v>660</v>
      </c>
      <c r="B50" s="24" t="s">
        <v>673</v>
      </c>
      <c r="C50" s="26" t="s">
        <v>641</v>
      </c>
      <c r="D50" s="26">
        <v>100</v>
      </c>
      <c r="E50" s="27">
        <f>E51</f>
        <v>0</v>
      </c>
      <c r="F50" s="27">
        <f>F51</f>
        <v>6889110</v>
      </c>
      <c r="G50" s="25">
        <f t="shared" si="0"/>
        <v>6889110</v>
      </c>
      <c r="H50" s="3"/>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row>
    <row r="51" spans="1:34" s="16" customFormat="1" ht="30.75">
      <c r="A51" s="23" t="s">
        <v>662</v>
      </c>
      <c r="B51" s="24" t="s">
        <v>673</v>
      </c>
      <c r="C51" s="26" t="s">
        <v>641</v>
      </c>
      <c r="D51" s="26">
        <v>120</v>
      </c>
      <c r="E51" s="27">
        <v>0</v>
      </c>
      <c r="F51" s="27">
        <v>6889110</v>
      </c>
      <c r="G51" s="25">
        <f t="shared" si="0"/>
        <v>6889110</v>
      </c>
      <c r="H51" s="3"/>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row>
    <row r="52" spans="1:34" s="16" customFormat="1" ht="15.75">
      <c r="A52" s="45" t="s">
        <v>4</v>
      </c>
      <c r="B52" s="21" t="s">
        <v>5</v>
      </c>
      <c r="C52" s="46"/>
      <c r="D52" s="21"/>
      <c r="E52" s="47">
        <f aca="true" t="shared" si="1" ref="E52:F56">E53</f>
        <v>10994</v>
      </c>
      <c r="F52" s="47">
        <f t="shared" si="1"/>
        <v>0</v>
      </c>
      <c r="G52" s="22">
        <f t="shared" si="0"/>
        <v>10994</v>
      </c>
      <c r="H52" s="3"/>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row>
    <row r="53" spans="1:34" s="16" customFormat="1" ht="15">
      <c r="A53" s="30" t="s">
        <v>674</v>
      </c>
      <c r="B53" s="24" t="s">
        <v>5</v>
      </c>
      <c r="C53" s="26" t="s">
        <v>675</v>
      </c>
      <c r="D53" s="24"/>
      <c r="E53" s="27">
        <f t="shared" si="1"/>
        <v>10994</v>
      </c>
      <c r="F53" s="27">
        <f t="shared" si="1"/>
        <v>0</v>
      </c>
      <c r="G53" s="25">
        <f t="shared" si="0"/>
        <v>10994</v>
      </c>
      <c r="H53" s="3"/>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row>
    <row r="54" spans="1:34" s="16" customFormat="1" ht="46.5">
      <c r="A54" s="31" t="s">
        <v>6</v>
      </c>
      <c r="B54" s="24" t="s">
        <v>5</v>
      </c>
      <c r="C54" s="26" t="s">
        <v>7</v>
      </c>
      <c r="D54" s="26"/>
      <c r="E54" s="27">
        <f t="shared" si="1"/>
        <v>10994</v>
      </c>
      <c r="F54" s="27">
        <f t="shared" si="1"/>
        <v>0</v>
      </c>
      <c r="G54" s="25">
        <f t="shared" si="0"/>
        <v>10994</v>
      </c>
      <c r="H54" s="3"/>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row>
    <row r="55" spans="1:34" s="44" customFormat="1" ht="46.5">
      <c r="A55" s="48" t="s">
        <v>8</v>
      </c>
      <c r="B55" s="33" t="s">
        <v>5</v>
      </c>
      <c r="C55" s="36" t="s">
        <v>9</v>
      </c>
      <c r="D55" s="33"/>
      <c r="E55" s="37">
        <f t="shared" si="1"/>
        <v>10994</v>
      </c>
      <c r="F55" s="37">
        <f t="shared" si="1"/>
        <v>0</v>
      </c>
      <c r="G55" s="25">
        <f t="shared" si="0"/>
        <v>10994</v>
      </c>
      <c r="H55" s="38"/>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34" s="44" customFormat="1" ht="30.75">
      <c r="A56" s="35" t="s">
        <v>10</v>
      </c>
      <c r="B56" s="33" t="s">
        <v>5</v>
      </c>
      <c r="C56" s="36" t="s">
        <v>9</v>
      </c>
      <c r="D56" s="33" t="s">
        <v>665</v>
      </c>
      <c r="E56" s="37">
        <f t="shared" si="1"/>
        <v>10994</v>
      </c>
      <c r="F56" s="37">
        <f t="shared" si="1"/>
        <v>0</v>
      </c>
      <c r="G56" s="25">
        <f t="shared" si="0"/>
        <v>10994</v>
      </c>
      <c r="H56" s="38"/>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34" s="44" customFormat="1" ht="30.75">
      <c r="A57" s="35" t="s">
        <v>666</v>
      </c>
      <c r="B57" s="33" t="s">
        <v>5</v>
      </c>
      <c r="C57" s="36" t="s">
        <v>9</v>
      </c>
      <c r="D57" s="33" t="s">
        <v>667</v>
      </c>
      <c r="E57" s="37">
        <v>10994</v>
      </c>
      <c r="F57" s="37">
        <v>0</v>
      </c>
      <c r="G57" s="25">
        <f t="shared" si="0"/>
        <v>10994</v>
      </c>
      <c r="H57" s="38"/>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34" s="44" customFormat="1" ht="48">
      <c r="A58" s="20" t="s">
        <v>11</v>
      </c>
      <c r="B58" s="21" t="s">
        <v>12</v>
      </c>
      <c r="C58" s="26"/>
      <c r="D58" s="26"/>
      <c r="E58" s="47">
        <f>E59</f>
        <v>44819000</v>
      </c>
      <c r="F58" s="47">
        <f>F59</f>
        <v>810000</v>
      </c>
      <c r="G58" s="22">
        <f t="shared" si="0"/>
        <v>45629000</v>
      </c>
      <c r="H58" s="38"/>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34" s="44" customFormat="1" ht="15.75">
      <c r="A59" s="30" t="s">
        <v>674</v>
      </c>
      <c r="B59" s="24" t="s">
        <v>12</v>
      </c>
      <c r="C59" s="26" t="s">
        <v>675</v>
      </c>
      <c r="D59" s="21"/>
      <c r="E59" s="25">
        <f>E60</f>
        <v>44819000</v>
      </c>
      <c r="F59" s="25">
        <f>F60</f>
        <v>810000</v>
      </c>
      <c r="G59" s="25">
        <f t="shared" si="0"/>
        <v>45629000</v>
      </c>
      <c r="H59" s="38"/>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34" s="44" customFormat="1" ht="18.75" customHeight="1">
      <c r="A60" s="31" t="s">
        <v>676</v>
      </c>
      <c r="B60" s="24" t="s">
        <v>12</v>
      </c>
      <c r="C60" s="26" t="s">
        <v>677</v>
      </c>
      <c r="D60" s="26"/>
      <c r="E60" s="27">
        <f>SUM(E61,E68,E75)</f>
        <v>44819000</v>
      </c>
      <c r="F60" s="27">
        <f>SUM(F61,F68,F75)</f>
        <v>810000</v>
      </c>
      <c r="G60" s="25">
        <f t="shared" si="0"/>
        <v>45629000</v>
      </c>
      <c r="H60" s="38"/>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34" s="44" customFormat="1" ht="30.75">
      <c r="A61" s="31" t="s">
        <v>13</v>
      </c>
      <c r="B61" s="24" t="s">
        <v>12</v>
      </c>
      <c r="C61" s="26" t="s">
        <v>14</v>
      </c>
      <c r="D61" s="26"/>
      <c r="E61" s="27">
        <f>SUM(E62,E64,E66)</f>
        <v>13559000</v>
      </c>
      <c r="F61" s="27">
        <f>SUM(F62,F64,F66)</f>
        <v>0</v>
      </c>
      <c r="G61" s="25">
        <f t="shared" si="0"/>
        <v>13559000</v>
      </c>
      <c r="H61" s="38"/>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row>
    <row r="62" spans="1:34" s="44" customFormat="1" ht="66" customHeight="1">
      <c r="A62" s="23" t="s">
        <v>660</v>
      </c>
      <c r="B62" s="24" t="s">
        <v>12</v>
      </c>
      <c r="C62" s="26" t="s">
        <v>14</v>
      </c>
      <c r="D62" s="24" t="s">
        <v>661</v>
      </c>
      <c r="E62" s="49">
        <f>E63</f>
        <v>10838000</v>
      </c>
      <c r="F62" s="49">
        <f>F63</f>
        <v>0</v>
      </c>
      <c r="G62" s="25">
        <f t="shared" si="0"/>
        <v>10838000</v>
      </c>
      <c r="H62" s="38"/>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row>
    <row r="63" spans="1:34" s="44" customFormat="1" ht="30.75">
      <c r="A63" s="23" t="s">
        <v>662</v>
      </c>
      <c r="B63" s="24" t="s">
        <v>12</v>
      </c>
      <c r="C63" s="26" t="s">
        <v>14</v>
      </c>
      <c r="D63" s="24" t="s">
        <v>663</v>
      </c>
      <c r="E63" s="49">
        <v>10838000</v>
      </c>
      <c r="F63" s="49">
        <v>0</v>
      </c>
      <c r="G63" s="25">
        <f t="shared" si="0"/>
        <v>10838000</v>
      </c>
      <c r="H63" s="38"/>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row>
    <row r="64" spans="1:34" s="44" customFormat="1" ht="30.75">
      <c r="A64" s="28" t="s">
        <v>664</v>
      </c>
      <c r="B64" s="24" t="s">
        <v>12</v>
      </c>
      <c r="C64" s="26" t="s">
        <v>14</v>
      </c>
      <c r="D64" s="24" t="s">
        <v>665</v>
      </c>
      <c r="E64" s="49">
        <f>E65</f>
        <v>2671000</v>
      </c>
      <c r="F64" s="49">
        <f>F65</f>
        <v>0</v>
      </c>
      <c r="G64" s="25">
        <f t="shared" si="0"/>
        <v>2671000</v>
      </c>
      <c r="H64" s="38"/>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row>
    <row r="65" spans="1:34" s="44" customFormat="1" ht="30.75">
      <c r="A65" s="28" t="s">
        <v>666</v>
      </c>
      <c r="B65" s="24" t="s">
        <v>12</v>
      </c>
      <c r="C65" s="26" t="s">
        <v>14</v>
      </c>
      <c r="D65" s="24" t="s">
        <v>667</v>
      </c>
      <c r="E65" s="49">
        <v>2671000</v>
      </c>
      <c r="F65" s="49">
        <v>0</v>
      </c>
      <c r="G65" s="25">
        <f t="shared" si="0"/>
        <v>2671000</v>
      </c>
      <c r="H65" s="38"/>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row>
    <row r="66" spans="1:34" s="44" customFormat="1" ht="15">
      <c r="A66" s="28" t="s">
        <v>668</v>
      </c>
      <c r="B66" s="24" t="s">
        <v>12</v>
      </c>
      <c r="C66" s="26" t="s">
        <v>14</v>
      </c>
      <c r="D66" s="24" t="s">
        <v>669</v>
      </c>
      <c r="E66" s="49">
        <f>E67</f>
        <v>50000</v>
      </c>
      <c r="F66" s="49">
        <f>F67</f>
        <v>0</v>
      </c>
      <c r="G66" s="25">
        <f t="shared" si="0"/>
        <v>50000</v>
      </c>
      <c r="H66" s="38"/>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row>
    <row r="67" spans="1:34" s="44" customFormat="1" ht="15">
      <c r="A67" s="28" t="s">
        <v>670</v>
      </c>
      <c r="B67" s="24" t="s">
        <v>12</v>
      </c>
      <c r="C67" s="26" t="s">
        <v>14</v>
      </c>
      <c r="D67" s="24" t="s">
        <v>671</v>
      </c>
      <c r="E67" s="49">
        <v>50000</v>
      </c>
      <c r="F67" s="49">
        <v>0</v>
      </c>
      <c r="G67" s="25">
        <f t="shared" si="0"/>
        <v>50000</v>
      </c>
      <c r="H67" s="38"/>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row>
    <row r="68" spans="1:34" s="44" customFormat="1" ht="30.75">
      <c r="A68" s="31" t="s">
        <v>15</v>
      </c>
      <c r="B68" s="24" t="s">
        <v>12</v>
      </c>
      <c r="C68" s="26" t="s">
        <v>16</v>
      </c>
      <c r="D68" s="26"/>
      <c r="E68" s="27">
        <f>SUM(E69,E71,E73)</f>
        <v>31260000</v>
      </c>
      <c r="F68" s="27">
        <f>SUM(F69,F71,F73)</f>
        <v>0</v>
      </c>
      <c r="G68" s="25">
        <f t="shared" si="0"/>
        <v>31260000</v>
      </c>
      <c r="H68" s="38"/>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row>
    <row r="69" spans="1:34" s="44" customFormat="1" ht="62.25">
      <c r="A69" s="23" t="s">
        <v>660</v>
      </c>
      <c r="B69" s="24" t="s">
        <v>12</v>
      </c>
      <c r="C69" s="26" t="s">
        <v>16</v>
      </c>
      <c r="D69" s="24" t="s">
        <v>661</v>
      </c>
      <c r="E69" s="27">
        <f>E70</f>
        <v>27500000</v>
      </c>
      <c r="F69" s="27">
        <f>F70</f>
        <v>0</v>
      </c>
      <c r="G69" s="25">
        <f t="shared" si="0"/>
        <v>27500000</v>
      </c>
      <c r="H69" s="38"/>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row>
    <row r="70" spans="1:34" s="44" customFormat="1" ht="30.75">
      <c r="A70" s="23" t="s">
        <v>662</v>
      </c>
      <c r="B70" s="24" t="s">
        <v>12</v>
      </c>
      <c r="C70" s="26" t="s">
        <v>16</v>
      </c>
      <c r="D70" s="24" t="s">
        <v>663</v>
      </c>
      <c r="E70" s="27">
        <v>27500000</v>
      </c>
      <c r="F70" s="27">
        <v>0</v>
      </c>
      <c r="G70" s="25">
        <f t="shared" si="0"/>
        <v>27500000</v>
      </c>
      <c r="H70" s="38"/>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row>
    <row r="71" spans="1:34" s="44" customFormat="1" ht="30.75">
      <c r="A71" s="28" t="s">
        <v>664</v>
      </c>
      <c r="B71" s="24" t="s">
        <v>12</v>
      </c>
      <c r="C71" s="26" t="s">
        <v>16</v>
      </c>
      <c r="D71" s="24" t="s">
        <v>665</v>
      </c>
      <c r="E71" s="27">
        <f>E72</f>
        <v>3700000</v>
      </c>
      <c r="F71" s="27">
        <f>F72</f>
        <v>0</v>
      </c>
      <c r="G71" s="25">
        <f t="shared" si="0"/>
        <v>3700000</v>
      </c>
      <c r="H71" s="38"/>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row>
    <row r="72" spans="1:34" s="44" customFormat="1" ht="30.75">
      <c r="A72" s="28" t="s">
        <v>666</v>
      </c>
      <c r="B72" s="24" t="s">
        <v>12</v>
      </c>
      <c r="C72" s="26" t="s">
        <v>16</v>
      </c>
      <c r="D72" s="24" t="s">
        <v>667</v>
      </c>
      <c r="E72" s="27">
        <v>3700000</v>
      </c>
      <c r="F72" s="27">
        <v>0</v>
      </c>
      <c r="G72" s="25">
        <f t="shared" si="0"/>
        <v>3700000</v>
      </c>
      <c r="H72" s="38"/>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row>
    <row r="73" spans="1:34" s="44" customFormat="1" ht="15">
      <c r="A73" s="28" t="s">
        <v>668</v>
      </c>
      <c r="B73" s="24" t="s">
        <v>12</v>
      </c>
      <c r="C73" s="26" t="s">
        <v>16</v>
      </c>
      <c r="D73" s="24" t="s">
        <v>669</v>
      </c>
      <c r="E73" s="27">
        <f>E74</f>
        <v>60000</v>
      </c>
      <c r="F73" s="27">
        <f>F74</f>
        <v>0</v>
      </c>
      <c r="G73" s="25">
        <f t="shared" si="0"/>
        <v>60000</v>
      </c>
      <c r="H73" s="38"/>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row>
    <row r="74" spans="1:34" s="44" customFormat="1" ht="15">
      <c r="A74" s="28" t="s">
        <v>670</v>
      </c>
      <c r="B74" s="24" t="s">
        <v>12</v>
      </c>
      <c r="C74" s="26" t="s">
        <v>16</v>
      </c>
      <c r="D74" s="24" t="s">
        <v>671</v>
      </c>
      <c r="E74" s="27">
        <v>60000</v>
      </c>
      <c r="F74" s="27">
        <v>0</v>
      </c>
      <c r="G74" s="25">
        <f t="shared" si="0"/>
        <v>60000</v>
      </c>
      <c r="H74" s="38"/>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row>
    <row r="75" spans="1:34" s="44" customFormat="1" ht="63" customHeight="1">
      <c r="A75" s="28" t="s">
        <v>642</v>
      </c>
      <c r="B75" s="24" t="s">
        <v>12</v>
      </c>
      <c r="C75" s="26" t="s">
        <v>641</v>
      </c>
      <c r="D75" s="24"/>
      <c r="E75" s="27">
        <f>E76</f>
        <v>0</v>
      </c>
      <c r="F75" s="27">
        <f>F76</f>
        <v>810000</v>
      </c>
      <c r="G75" s="25">
        <f t="shared" si="0"/>
        <v>810000</v>
      </c>
      <c r="H75" s="38"/>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row>
    <row r="76" spans="1:34" s="44" customFormat="1" ht="69.75" customHeight="1">
      <c r="A76" s="23" t="s">
        <v>660</v>
      </c>
      <c r="B76" s="24" t="s">
        <v>12</v>
      </c>
      <c r="C76" s="26" t="s">
        <v>641</v>
      </c>
      <c r="D76" s="24" t="s">
        <v>661</v>
      </c>
      <c r="E76" s="27">
        <f>E77</f>
        <v>0</v>
      </c>
      <c r="F76" s="27">
        <f>F77</f>
        <v>810000</v>
      </c>
      <c r="G76" s="25">
        <f t="shared" si="0"/>
        <v>810000</v>
      </c>
      <c r="H76" s="38"/>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row>
    <row r="77" spans="1:34" s="44" customFormat="1" ht="30.75">
      <c r="A77" s="23" t="s">
        <v>662</v>
      </c>
      <c r="B77" s="24" t="s">
        <v>12</v>
      </c>
      <c r="C77" s="26" t="s">
        <v>641</v>
      </c>
      <c r="D77" s="24" t="s">
        <v>663</v>
      </c>
      <c r="E77" s="27">
        <v>0</v>
      </c>
      <c r="F77" s="27">
        <v>810000</v>
      </c>
      <c r="G77" s="25">
        <f t="shared" si="0"/>
        <v>810000</v>
      </c>
      <c r="H77" s="38"/>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row>
    <row r="78" spans="1:34" s="44" customFormat="1" ht="15.75">
      <c r="A78" s="50" t="s">
        <v>17</v>
      </c>
      <c r="B78" s="51" t="s">
        <v>18</v>
      </c>
      <c r="C78" s="51"/>
      <c r="D78" s="51"/>
      <c r="E78" s="52">
        <f aca="true" t="shared" si="2" ref="E78:F82">E79</f>
        <v>578710</v>
      </c>
      <c r="F78" s="52">
        <f t="shared" si="2"/>
        <v>587364</v>
      </c>
      <c r="G78" s="53">
        <f t="shared" si="0"/>
        <v>1166074</v>
      </c>
      <c r="H78" s="38"/>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row>
    <row r="79" spans="1:34" s="44" customFormat="1" ht="15">
      <c r="A79" s="54" t="s">
        <v>674</v>
      </c>
      <c r="B79" s="55" t="s">
        <v>18</v>
      </c>
      <c r="C79" s="55" t="s">
        <v>675</v>
      </c>
      <c r="D79" s="55"/>
      <c r="E79" s="56">
        <f>E80+E85</f>
        <v>578710</v>
      </c>
      <c r="F79" s="56">
        <f>F80+F85</f>
        <v>587364</v>
      </c>
      <c r="G79" s="57">
        <f t="shared" si="0"/>
        <v>1166074</v>
      </c>
      <c r="H79" s="38"/>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row>
    <row r="80" spans="1:34" s="44" customFormat="1" ht="30.75">
      <c r="A80" s="54" t="s">
        <v>19</v>
      </c>
      <c r="B80" s="55" t="s">
        <v>18</v>
      </c>
      <c r="C80" s="55" t="s">
        <v>20</v>
      </c>
      <c r="D80" s="55"/>
      <c r="E80" s="56">
        <f t="shared" si="2"/>
        <v>578710</v>
      </c>
      <c r="F80" s="56">
        <f t="shared" si="2"/>
        <v>144114</v>
      </c>
      <c r="G80" s="57">
        <f t="shared" si="0"/>
        <v>722824</v>
      </c>
      <c r="H80" s="38"/>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row>
    <row r="81" spans="1:34" s="44" customFormat="1" ht="30.75">
      <c r="A81" s="54" t="s">
        <v>21</v>
      </c>
      <c r="B81" s="55" t="s">
        <v>18</v>
      </c>
      <c r="C81" s="55" t="s">
        <v>22</v>
      </c>
      <c r="D81" s="55"/>
      <c r="E81" s="56">
        <f t="shared" si="2"/>
        <v>578710</v>
      </c>
      <c r="F81" s="56">
        <f t="shared" si="2"/>
        <v>144114</v>
      </c>
      <c r="G81" s="57">
        <f t="shared" si="0"/>
        <v>722824</v>
      </c>
      <c r="H81" s="38"/>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row>
    <row r="82" spans="1:34" s="44" customFormat="1" ht="15">
      <c r="A82" s="54" t="s">
        <v>668</v>
      </c>
      <c r="B82" s="55" t="s">
        <v>18</v>
      </c>
      <c r="C82" s="55" t="s">
        <v>22</v>
      </c>
      <c r="D82" s="55" t="s">
        <v>669</v>
      </c>
      <c r="E82" s="56">
        <f t="shared" si="2"/>
        <v>578710</v>
      </c>
      <c r="F82" s="56">
        <f t="shared" si="2"/>
        <v>144114</v>
      </c>
      <c r="G82" s="57">
        <f aca="true" t="shared" si="3" ref="G82:G147">SUM(E82:F82)</f>
        <v>722824</v>
      </c>
      <c r="H82" s="38"/>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row>
    <row r="83" spans="1:34" s="44" customFormat="1" ht="15">
      <c r="A83" s="54" t="s">
        <v>23</v>
      </c>
      <c r="B83" s="55" t="s">
        <v>18</v>
      </c>
      <c r="C83" s="55" t="s">
        <v>22</v>
      </c>
      <c r="D83" s="55" t="s">
        <v>24</v>
      </c>
      <c r="E83" s="56">
        <v>578710</v>
      </c>
      <c r="F83" s="58">
        <v>144114</v>
      </c>
      <c r="G83" s="57">
        <f t="shared" si="3"/>
        <v>722824</v>
      </c>
      <c r="H83" s="38"/>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row>
    <row r="84" spans="1:34" s="44" customFormat="1" ht="46.5">
      <c r="A84" s="54" t="s">
        <v>6</v>
      </c>
      <c r="B84" s="55" t="s">
        <v>18</v>
      </c>
      <c r="C84" s="55" t="s">
        <v>7</v>
      </c>
      <c r="D84" s="55"/>
      <c r="E84" s="56">
        <f aca="true" t="shared" si="4" ref="E84:F86">E85</f>
        <v>0</v>
      </c>
      <c r="F84" s="56">
        <f t="shared" si="4"/>
        <v>443250</v>
      </c>
      <c r="G84" s="57">
        <f t="shared" si="3"/>
        <v>443250</v>
      </c>
      <c r="H84" s="38"/>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row>
    <row r="85" spans="1:34" s="44" customFormat="1" ht="30.75">
      <c r="A85" s="54" t="s">
        <v>640</v>
      </c>
      <c r="B85" s="55" t="s">
        <v>18</v>
      </c>
      <c r="C85" s="55" t="s">
        <v>639</v>
      </c>
      <c r="D85" s="55"/>
      <c r="E85" s="56">
        <f t="shared" si="4"/>
        <v>0</v>
      </c>
      <c r="F85" s="56">
        <f t="shared" si="4"/>
        <v>443250</v>
      </c>
      <c r="G85" s="57">
        <f t="shared" si="3"/>
        <v>443250</v>
      </c>
      <c r="H85" s="38"/>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row>
    <row r="86" spans="1:34" s="44" customFormat="1" ht="30.75">
      <c r="A86" s="28" t="s">
        <v>664</v>
      </c>
      <c r="B86" s="55" t="s">
        <v>18</v>
      </c>
      <c r="C86" s="55" t="s">
        <v>639</v>
      </c>
      <c r="D86" s="24" t="s">
        <v>665</v>
      </c>
      <c r="E86" s="56">
        <f t="shared" si="4"/>
        <v>0</v>
      </c>
      <c r="F86" s="56">
        <f t="shared" si="4"/>
        <v>443250</v>
      </c>
      <c r="G86" s="57">
        <f t="shared" si="3"/>
        <v>443250</v>
      </c>
      <c r="H86" s="38"/>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row>
    <row r="87" spans="1:34" s="44" customFormat="1" ht="30.75">
      <c r="A87" s="28" t="s">
        <v>666</v>
      </c>
      <c r="B87" s="55" t="s">
        <v>18</v>
      </c>
      <c r="C87" s="55" t="s">
        <v>639</v>
      </c>
      <c r="D87" s="24" t="s">
        <v>667</v>
      </c>
      <c r="E87" s="56">
        <v>0</v>
      </c>
      <c r="F87" s="56">
        <v>443250</v>
      </c>
      <c r="G87" s="57">
        <f t="shared" si="3"/>
        <v>443250</v>
      </c>
      <c r="H87" s="38"/>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row>
    <row r="88" spans="1:34" s="44" customFormat="1" ht="15.75">
      <c r="A88" s="20" t="s">
        <v>25</v>
      </c>
      <c r="B88" s="21" t="s">
        <v>26</v>
      </c>
      <c r="C88" s="26"/>
      <c r="D88" s="26"/>
      <c r="E88" s="47">
        <f>E89</f>
        <v>10000000</v>
      </c>
      <c r="F88" s="47">
        <f>F89</f>
        <v>0</v>
      </c>
      <c r="G88" s="22">
        <f t="shared" si="3"/>
        <v>10000000</v>
      </c>
      <c r="H88" s="38"/>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row>
    <row r="89" spans="1:34" s="44" customFormat="1" ht="15">
      <c r="A89" s="30" t="s">
        <v>674</v>
      </c>
      <c r="B89" s="24" t="s">
        <v>26</v>
      </c>
      <c r="C89" s="26" t="s">
        <v>675</v>
      </c>
      <c r="D89" s="26"/>
      <c r="E89" s="27">
        <f>E90</f>
        <v>10000000</v>
      </c>
      <c r="F89" s="27">
        <f>F90</f>
        <v>0</v>
      </c>
      <c r="G89" s="25">
        <f t="shared" si="3"/>
        <v>10000000</v>
      </c>
      <c r="H89" s="38"/>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row>
    <row r="90" spans="1:34" s="44" customFormat="1" ht="15">
      <c r="A90" s="31" t="s">
        <v>27</v>
      </c>
      <c r="B90" s="24" t="s">
        <v>26</v>
      </c>
      <c r="C90" s="26" t="s">
        <v>28</v>
      </c>
      <c r="D90" s="26"/>
      <c r="E90" s="27">
        <f>SUM(E91,E94)</f>
        <v>10000000</v>
      </c>
      <c r="F90" s="27">
        <f>SUM(F91,F94)</f>
        <v>0</v>
      </c>
      <c r="G90" s="25">
        <f t="shared" si="3"/>
        <v>10000000</v>
      </c>
      <c r="H90" s="38"/>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row>
    <row r="91" spans="1:34" s="44" customFormat="1" ht="15">
      <c r="A91" s="31" t="s">
        <v>29</v>
      </c>
      <c r="B91" s="24" t="s">
        <v>26</v>
      </c>
      <c r="C91" s="26" t="s">
        <v>30</v>
      </c>
      <c r="D91" s="26"/>
      <c r="E91" s="27">
        <f>E92</f>
        <v>7200000</v>
      </c>
      <c r="F91" s="27">
        <f>F92</f>
        <v>0</v>
      </c>
      <c r="G91" s="25">
        <f t="shared" si="3"/>
        <v>7200000</v>
      </c>
      <c r="H91" s="38"/>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row>
    <row r="92" spans="1:34" s="44" customFormat="1" ht="15">
      <c r="A92" s="28" t="s">
        <v>668</v>
      </c>
      <c r="B92" s="24" t="s">
        <v>26</v>
      </c>
      <c r="C92" s="26" t="s">
        <v>30</v>
      </c>
      <c r="D92" s="26">
        <v>800</v>
      </c>
      <c r="E92" s="27">
        <f>E93</f>
        <v>7200000</v>
      </c>
      <c r="F92" s="27">
        <f>F93</f>
        <v>0</v>
      </c>
      <c r="G92" s="25">
        <f t="shared" si="3"/>
        <v>7200000</v>
      </c>
      <c r="H92" s="38"/>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row>
    <row r="93" spans="1:34" s="44" customFormat="1" ht="15">
      <c r="A93" s="31" t="s">
        <v>31</v>
      </c>
      <c r="B93" s="24" t="s">
        <v>26</v>
      </c>
      <c r="C93" s="26" t="s">
        <v>30</v>
      </c>
      <c r="D93" s="26">
        <v>870</v>
      </c>
      <c r="E93" s="27">
        <v>7200000</v>
      </c>
      <c r="F93" s="27">
        <v>0</v>
      </c>
      <c r="G93" s="25">
        <f t="shared" si="3"/>
        <v>7200000</v>
      </c>
      <c r="H93" s="38"/>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row>
    <row r="94" spans="1:34" s="44" customFormat="1" ht="46.5">
      <c r="A94" s="31" t="s">
        <v>32</v>
      </c>
      <c r="B94" s="24" t="s">
        <v>26</v>
      </c>
      <c r="C94" s="26" t="s">
        <v>33</v>
      </c>
      <c r="D94" s="26"/>
      <c r="E94" s="27">
        <f>E95</f>
        <v>2800000</v>
      </c>
      <c r="F94" s="27">
        <f>F95</f>
        <v>0</v>
      </c>
      <c r="G94" s="25">
        <f t="shared" si="3"/>
        <v>2800000</v>
      </c>
      <c r="H94" s="38"/>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row>
    <row r="95" spans="1:34" s="44" customFormat="1" ht="15">
      <c r="A95" s="28" t="s">
        <v>668</v>
      </c>
      <c r="B95" s="24" t="s">
        <v>26</v>
      </c>
      <c r="C95" s="26" t="s">
        <v>33</v>
      </c>
      <c r="D95" s="26">
        <v>800</v>
      </c>
      <c r="E95" s="27">
        <f>E96</f>
        <v>2800000</v>
      </c>
      <c r="F95" s="27">
        <f>F96</f>
        <v>0</v>
      </c>
      <c r="G95" s="25">
        <f t="shared" si="3"/>
        <v>2800000</v>
      </c>
      <c r="H95" s="38"/>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row>
    <row r="96" spans="1:34" s="44" customFormat="1" ht="15">
      <c r="A96" s="31" t="s">
        <v>31</v>
      </c>
      <c r="B96" s="24" t="s">
        <v>26</v>
      </c>
      <c r="C96" s="26" t="s">
        <v>33</v>
      </c>
      <c r="D96" s="26">
        <v>870</v>
      </c>
      <c r="E96" s="27">
        <v>2800000</v>
      </c>
      <c r="F96" s="27">
        <v>0</v>
      </c>
      <c r="G96" s="25">
        <f t="shared" si="3"/>
        <v>2800000</v>
      </c>
      <c r="H96" s="38"/>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row>
    <row r="97" spans="1:34" s="16" customFormat="1" ht="15.75">
      <c r="A97" s="20" t="s">
        <v>34</v>
      </c>
      <c r="B97" s="21" t="s">
        <v>35</v>
      </c>
      <c r="C97" s="59"/>
      <c r="D97" s="59"/>
      <c r="E97" s="47">
        <f>SUM(E98,E102,E118,E129,E154,E114)</f>
        <v>152525825.15</v>
      </c>
      <c r="F97" s="47">
        <f>SUM(F98,F102,F118,F129,F154,F114)</f>
        <v>55698897.3</v>
      </c>
      <c r="G97" s="22">
        <f t="shared" si="3"/>
        <v>208224722.45</v>
      </c>
      <c r="H97" s="3"/>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row>
    <row r="98" spans="1:34" s="16" customFormat="1" ht="46.5">
      <c r="A98" s="31" t="s">
        <v>36</v>
      </c>
      <c r="B98" s="60" t="s">
        <v>35</v>
      </c>
      <c r="C98" s="26" t="s">
        <v>37</v>
      </c>
      <c r="D98" s="59"/>
      <c r="E98" s="27">
        <f>SUM(E99)</f>
        <v>9000000</v>
      </c>
      <c r="F98" s="27">
        <f>SUM(F99)</f>
        <v>0</v>
      </c>
      <c r="G98" s="25">
        <f t="shared" si="3"/>
        <v>9000000</v>
      </c>
      <c r="H98" s="3"/>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row>
    <row r="99" spans="1:34" s="16" customFormat="1" ht="30.75">
      <c r="A99" s="31" t="s">
        <v>38</v>
      </c>
      <c r="B99" s="60" t="s">
        <v>35</v>
      </c>
      <c r="C99" s="26" t="s">
        <v>39</v>
      </c>
      <c r="D99" s="59"/>
      <c r="E99" s="27">
        <f>E100</f>
        <v>9000000</v>
      </c>
      <c r="F99" s="27">
        <f>F100</f>
        <v>0</v>
      </c>
      <c r="G99" s="25">
        <f t="shared" si="3"/>
        <v>9000000</v>
      </c>
      <c r="H99" s="3"/>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row>
    <row r="100" spans="1:34" s="16" customFormat="1" ht="30.75">
      <c r="A100" s="28" t="s">
        <v>664</v>
      </c>
      <c r="B100" s="60" t="s">
        <v>35</v>
      </c>
      <c r="C100" s="26" t="s">
        <v>39</v>
      </c>
      <c r="D100" s="24" t="s">
        <v>665</v>
      </c>
      <c r="E100" s="27">
        <f>E101</f>
        <v>9000000</v>
      </c>
      <c r="F100" s="27">
        <f>F101</f>
        <v>0</v>
      </c>
      <c r="G100" s="25">
        <f t="shared" si="3"/>
        <v>9000000</v>
      </c>
      <c r="H100" s="3"/>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row>
    <row r="101" spans="1:34" s="16" customFormat="1" ht="30.75">
      <c r="A101" s="28" t="s">
        <v>666</v>
      </c>
      <c r="B101" s="60" t="s">
        <v>35</v>
      </c>
      <c r="C101" s="26" t="s">
        <v>39</v>
      </c>
      <c r="D101" s="24" t="s">
        <v>667</v>
      </c>
      <c r="E101" s="27">
        <v>9000000</v>
      </c>
      <c r="F101" s="27">
        <v>0</v>
      </c>
      <c r="G101" s="25">
        <f t="shared" si="3"/>
        <v>9000000</v>
      </c>
      <c r="H101" s="3"/>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row>
    <row r="102" spans="1:34" s="16" customFormat="1" ht="30.75">
      <c r="A102" s="31" t="s">
        <v>40</v>
      </c>
      <c r="B102" s="24" t="s">
        <v>35</v>
      </c>
      <c r="C102" s="26" t="s">
        <v>41</v>
      </c>
      <c r="D102" s="26"/>
      <c r="E102" s="27">
        <f>SUM(E103)</f>
        <v>52209873.54000001</v>
      </c>
      <c r="F102" s="27">
        <f>SUM(F103)</f>
        <v>23658325</v>
      </c>
      <c r="G102" s="25">
        <f t="shared" si="3"/>
        <v>75868198.54</v>
      </c>
      <c r="H102" s="3"/>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row>
    <row r="103" spans="1:34" s="16" customFormat="1" ht="15">
      <c r="A103" s="61" t="s">
        <v>42</v>
      </c>
      <c r="B103" s="24" t="s">
        <v>35</v>
      </c>
      <c r="C103" s="26" t="s">
        <v>43</v>
      </c>
      <c r="D103" s="26"/>
      <c r="E103" s="27">
        <f>SUM(E104,E111)</f>
        <v>52209873.54000001</v>
      </c>
      <c r="F103" s="27">
        <f>SUM(F104,F111)</f>
        <v>23658325</v>
      </c>
      <c r="G103" s="25">
        <f t="shared" si="3"/>
        <v>75868198.54</v>
      </c>
      <c r="H103" s="3"/>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row>
    <row r="104" spans="1:34" s="16" customFormat="1" ht="15">
      <c r="A104" s="61" t="s">
        <v>44</v>
      </c>
      <c r="B104" s="24" t="s">
        <v>35</v>
      </c>
      <c r="C104" s="26" t="s">
        <v>45</v>
      </c>
      <c r="D104" s="26"/>
      <c r="E104" s="27">
        <f>SUM(E105,E107,E109)</f>
        <v>47213883.34</v>
      </c>
      <c r="F104" s="27">
        <f>SUM(F105,F107,F109)</f>
        <v>26654315.2</v>
      </c>
      <c r="G104" s="25">
        <f t="shared" si="3"/>
        <v>73868198.54</v>
      </c>
      <c r="H104" s="3"/>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row>
    <row r="105" spans="1:34" s="3" customFormat="1" ht="66" customHeight="1">
      <c r="A105" s="23" t="s">
        <v>660</v>
      </c>
      <c r="B105" s="24" t="s">
        <v>35</v>
      </c>
      <c r="C105" s="26" t="s">
        <v>45</v>
      </c>
      <c r="D105" s="26">
        <v>100</v>
      </c>
      <c r="E105" s="27">
        <f>E106</f>
        <v>16500000</v>
      </c>
      <c r="F105" s="27">
        <f>F106</f>
        <v>6176920.2</v>
      </c>
      <c r="G105" s="25">
        <f t="shared" si="3"/>
        <v>22676920.2</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row>
    <row r="106" spans="1:34" s="16" customFormat="1" ht="15">
      <c r="A106" s="23" t="s">
        <v>46</v>
      </c>
      <c r="B106" s="24" t="s">
        <v>35</v>
      </c>
      <c r="C106" s="26" t="s">
        <v>45</v>
      </c>
      <c r="D106" s="26">
        <v>110</v>
      </c>
      <c r="E106" s="27">
        <v>16500000</v>
      </c>
      <c r="F106" s="27">
        <f>2995990.2-1007395-2720000+1007395+2720000+3180930</f>
        <v>6176920.2</v>
      </c>
      <c r="G106" s="25">
        <f t="shared" si="3"/>
        <v>22676920.2</v>
      </c>
      <c r="H106" s="3"/>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row>
    <row r="107" spans="1:34" s="16" customFormat="1" ht="30.75">
      <c r="A107" s="28" t="s">
        <v>664</v>
      </c>
      <c r="B107" s="24" t="s">
        <v>35</v>
      </c>
      <c r="C107" s="26" t="s">
        <v>45</v>
      </c>
      <c r="D107" s="26">
        <v>200</v>
      </c>
      <c r="E107" s="27">
        <f>E108</f>
        <v>30513883.34</v>
      </c>
      <c r="F107" s="27">
        <f>F108</f>
        <v>20477395</v>
      </c>
      <c r="G107" s="25">
        <f t="shared" si="3"/>
        <v>50991278.34</v>
      </c>
      <c r="H107" s="3"/>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row>
    <row r="108" spans="1:34" s="16" customFormat="1" ht="30.75">
      <c r="A108" s="28" t="s">
        <v>666</v>
      </c>
      <c r="B108" s="24" t="s">
        <v>35</v>
      </c>
      <c r="C108" s="26" t="s">
        <v>45</v>
      </c>
      <c r="D108" s="26">
        <v>240</v>
      </c>
      <c r="E108" s="27">
        <v>30513883.34</v>
      </c>
      <c r="F108" s="27">
        <f>1007395+2720000+9600000+1500000+5650000</f>
        <v>20477395</v>
      </c>
      <c r="G108" s="25">
        <f t="shared" si="3"/>
        <v>50991278.34</v>
      </c>
      <c r="H108" s="3"/>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row>
    <row r="109" spans="1:34" s="16" customFormat="1" ht="15">
      <c r="A109" s="28" t="s">
        <v>668</v>
      </c>
      <c r="B109" s="24" t="s">
        <v>35</v>
      </c>
      <c r="C109" s="26" t="s">
        <v>45</v>
      </c>
      <c r="D109" s="26">
        <v>800</v>
      </c>
      <c r="E109" s="27">
        <f>E110</f>
        <v>200000</v>
      </c>
      <c r="F109" s="27">
        <f>F110</f>
        <v>0</v>
      </c>
      <c r="G109" s="25">
        <f t="shared" si="3"/>
        <v>200000</v>
      </c>
      <c r="H109" s="3"/>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s="16" customFormat="1" ht="15">
      <c r="A110" s="28" t="s">
        <v>670</v>
      </c>
      <c r="B110" s="24" t="s">
        <v>35</v>
      </c>
      <c r="C110" s="26" t="s">
        <v>45</v>
      </c>
      <c r="D110" s="26">
        <v>850</v>
      </c>
      <c r="E110" s="27">
        <v>200000</v>
      </c>
      <c r="F110" s="27">
        <v>0</v>
      </c>
      <c r="G110" s="25">
        <f t="shared" si="3"/>
        <v>200000</v>
      </c>
      <c r="H110" s="3"/>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s="16" customFormat="1" ht="30.75">
      <c r="A111" s="61" t="s">
        <v>47</v>
      </c>
      <c r="B111" s="24" t="s">
        <v>35</v>
      </c>
      <c r="C111" s="26" t="s">
        <v>48</v>
      </c>
      <c r="D111" s="26"/>
      <c r="E111" s="27">
        <f>E112</f>
        <v>4995990.2</v>
      </c>
      <c r="F111" s="27">
        <f>F112</f>
        <v>-2995990.2</v>
      </c>
      <c r="G111" s="25">
        <f t="shared" si="3"/>
        <v>2000000</v>
      </c>
      <c r="H111" s="3"/>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row>
    <row r="112" spans="1:34" s="16" customFormat="1" ht="30.75">
      <c r="A112" s="28" t="s">
        <v>664</v>
      </c>
      <c r="B112" s="24" t="s">
        <v>35</v>
      </c>
      <c r="C112" s="26" t="s">
        <v>48</v>
      </c>
      <c r="D112" s="26">
        <v>200</v>
      </c>
      <c r="E112" s="27">
        <f>E113</f>
        <v>4995990.2</v>
      </c>
      <c r="F112" s="27">
        <f>F113</f>
        <v>-2995990.2</v>
      </c>
      <c r="G112" s="25">
        <f t="shared" si="3"/>
        <v>2000000</v>
      </c>
      <c r="H112" s="3"/>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s="16" customFormat="1" ht="30.75">
      <c r="A113" s="28" t="s">
        <v>666</v>
      </c>
      <c r="B113" s="24" t="s">
        <v>35</v>
      </c>
      <c r="C113" s="26" t="s">
        <v>48</v>
      </c>
      <c r="D113" s="26">
        <v>240</v>
      </c>
      <c r="E113" s="49">
        <v>4995990.2</v>
      </c>
      <c r="F113" s="27">
        <v>-2995990.2</v>
      </c>
      <c r="G113" s="25">
        <f t="shared" si="3"/>
        <v>2000000</v>
      </c>
      <c r="H113" s="3"/>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row>
    <row r="114" spans="1:34" s="16" customFormat="1" ht="39.75" customHeight="1">
      <c r="A114" s="28" t="s">
        <v>49</v>
      </c>
      <c r="B114" s="24" t="s">
        <v>35</v>
      </c>
      <c r="C114" s="26" t="s">
        <v>50</v>
      </c>
      <c r="D114" s="26"/>
      <c r="E114" s="49">
        <f aca="true" t="shared" si="5" ref="E114:F116">E115</f>
        <v>100000</v>
      </c>
      <c r="F114" s="49">
        <f t="shared" si="5"/>
        <v>207393</v>
      </c>
      <c r="G114" s="25">
        <f t="shared" si="3"/>
        <v>307393</v>
      </c>
      <c r="H114" s="3"/>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row>
    <row r="115" spans="1:34" s="16" customFormat="1" ht="35.25" customHeight="1">
      <c r="A115" s="28" t="s">
        <v>51</v>
      </c>
      <c r="B115" s="24" t="s">
        <v>35</v>
      </c>
      <c r="C115" s="26" t="s">
        <v>52</v>
      </c>
      <c r="D115" s="26"/>
      <c r="E115" s="49">
        <f t="shared" si="5"/>
        <v>100000</v>
      </c>
      <c r="F115" s="49">
        <f t="shared" si="5"/>
        <v>207393</v>
      </c>
      <c r="G115" s="25">
        <f t="shared" si="3"/>
        <v>307393</v>
      </c>
      <c r="H115" s="3"/>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row>
    <row r="116" spans="1:34" s="16" customFormat="1" ht="30.75">
      <c r="A116" s="28" t="s">
        <v>53</v>
      </c>
      <c r="B116" s="24" t="s">
        <v>35</v>
      </c>
      <c r="C116" s="26" t="s">
        <v>52</v>
      </c>
      <c r="D116" s="26">
        <v>600</v>
      </c>
      <c r="E116" s="49">
        <f t="shared" si="5"/>
        <v>100000</v>
      </c>
      <c r="F116" s="49">
        <f t="shared" si="5"/>
        <v>207393</v>
      </c>
      <c r="G116" s="25">
        <f t="shared" si="3"/>
        <v>307393</v>
      </c>
      <c r="H116" s="3"/>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s="16" customFormat="1" ht="15">
      <c r="A117" s="28" t="s">
        <v>54</v>
      </c>
      <c r="B117" s="24" t="s">
        <v>35</v>
      </c>
      <c r="C117" s="26" t="s">
        <v>52</v>
      </c>
      <c r="D117" s="26">
        <v>610</v>
      </c>
      <c r="E117" s="49">
        <v>100000</v>
      </c>
      <c r="F117" s="49">
        <v>207393</v>
      </c>
      <c r="G117" s="25">
        <f t="shared" si="3"/>
        <v>307393</v>
      </c>
      <c r="H117" s="3"/>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s="16" customFormat="1" ht="30.75">
      <c r="A118" s="31" t="s">
        <v>55</v>
      </c>
      <c r="B118" s="24" t="s">
        <v>35</v>
      </c>
      <c r="C118" s="26" t="s">
        <v>56</v>
      </c>
      <c r="D118" s="26"/>
      <c r="E118" s="27">
        <f>SUM(E119)</f>
        <v>1750000</v>
      </c>
      <c r="F118" s="27">
        <f>SUM(F119)</f>
        <v>0</v>
      </c>
      <c r="G118" s="25">
        <f t="shared" si="3"/>
        <v>1750000</v>
      </c>
      <c r="H118" s="3"/>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s="16" customFormat="1" ht="46.5">
      <c r="A119" s="61" t="s">
        <v>57</v>
      </c>
      <c r="B119" s="24" t="s">
        <v>35</v>
      </c>
      <c r="C119" s="26" t="s">
        <v>58</v>
      </c>
      <c r="D119" s="26"/>
      <c r="E119" s="27">
        <f>SUM(E120,E123,E126)</f>
        <v>1750000</v>
      </c>
      <c r="F119" s="27">
        <f>SUM(F120,F123,F126)</f>
        <v>0</v>
      </c>
      <c r="G119" s="25">
        <f t="shared" si="3"/>
        <v>1750000</v>
      </c>
      <c r="H119" s="3"/>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s="3" customFormat="1" ht="30.75">
      <c r="A120" s="61" t="s">
        <v>59</v>
      </c>
      <c r="B120" s="24" t="s">
        <v>35</v>
      </c>
      <c r="C120" s="26" t="s">
        <v>60</v>
      </c>
      <c r="D120" s="26"/>
      <c r="E120" s="27">
        <f>E121</f>
        <v>800000</v>
      </c>
      <c r="F120" s="27">
        <f>F121</f>
        <v>0</v>
      </c>
      <c r="G120" s="25">
        <f t="shared" si="3"/>
        <v>800000</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row>
    <row r="121" spans="1:34" s="16" customFormat="1" ht="30.75">
      <c r="A121" s="28" t="s">
        <v>664</v>
      </c>
      <c r="B121" s="24" t="s">
        <v>35</v>
      </c>
      <c r="C121" s="26" t="s">
        <v>60</v>
      </c>
      <c r="D121" s="26">
        <v>200</v>
      </c>
      <c r="E121" s="27">
        <f>E122</f>
        <v>800000</v>
      </c>
      <c r="F121" s="27">
        <f>F122</f>
        <v>0</v>
      </c>
      <c r="G121" s="25">
        <f t="shared" si="3"/>
        <v>800000</v>
      </c>
      <c r="H121" s="3"/>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row>
    <row r="122" spans="1:34" s="16" customFormat="1" ht="30.75">
      <c r="A122" s="28" t="s">
        <v>666</v>
      </c>
      <c r="B122" s="24" t="s">
        <v>35</v>
      </c>
      <c r="C122" s="26" t="s">
        <v>60</v>
      </c>
      <c r="D122" s="26">
        <v>240</v>
      </c>
      <c r="E122" s="27">
        <v>800000</v>
      </c>
      <c r="F122" s="27">
        <v>0</v>
      </c>
      <c r="G122" s="25">
        <f t="shared" si="3"/>
        <v>800000</v>
      </c>
      <c r="H122" s="3"/>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s="16" customFormat="1" ht="30.75">
      <c r="A123" s="61" t="s">
        <v>61</v>
      </c>
      <c r="B123" s="24" t="s">
        <v>35</v>
      </c>
      <c r="C123" s="26" t="s">
        <v>62</v>
      </c>
      <c r="D123" s="26"/>
      <c r="E123" s="27">
        <f>E124</f>
        <v>250000</v>
      </c>
      <c r="F123" s="27">
        <f>F124</f>
        <v>0</v>
      </c>
      <c r="G123" s="25">
        <f t="shared" si="3"/>
        <v>250000</v>
      </c>
      <c r="H123" s="3"/>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row>
    <row r="124" spans="1:34" s="16" customFormat="1" ht="30.75">
      <c r="A124" s="28" t="s">
        <v>53</v>
      </c>
      <c r="B124" s="24" t="s">
        <v>35</v>
      </c>
      <c r="C124" s="26" t="s">
        <v>62</v>
      </c>
      <c r="D124" s="26">
        <v>600</v>
      </c>
      <c r="E124" s="27">
        <f>E125</f>
        <v>250000</v>
      </c>
      <c r="F124" s="27">
        <f>F125</f>
        <v>0</v>
      </c>
      <c r="G124" s="25">
        <f t="shared" si="3"/>
        <v>250000</v>
      </c>
      <c r="H124" s="3"/>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s="16" customFormat="1" ht="30.75">
      <c r="A125" s="31" t="s">
        <v>63</v>
      </c>
      <c r="B125" s="24" t="s">
        <v>35</v>
      </c>
      <c r="C125" s="26" t="s">
        <v>62</v>
      </c>
      <c r="D125" s="26">
        <v>630</v>
      </c>
      <c r="E125" s="27">
        <v>250000</v>
      </c>
      <c r="F125" s="27">
        <v>0</v>
      </c>
      <c r="G125" s="25">
        <f t="shared" si="3"/>
        <v>250000</v>
      </c>
      <c r="H125" s="3"/>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row>
    <row r="126" spans="1:34" s="16" customFormat="1" ht="46.5">
      <c r="A126" s="61" t="s">
        <v>64</v>
      </c>
      <c r="B126" s="24" t="s">
        <v>35</v>
      </c>
      <c r="C126" s="26" t="s">
        <v>65</v>
      </c>
      <c r="D126" s="26"/>
      <c r="E126" s="27">
        <f>E127</f>
        <v>700000</v>
      </c>
      <c r="F126" s="27">
        <f>F127</f>
        <v>0</v>
      </c>
      <c r="G126" s="25">
        <f t="shared" si="3"/>
        <v>700000</v>
      </c>
      <c r="H126" s="3"/>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s="16" customFormat="1" ht="30.75">
      <c r="A127" s="28" t="s">
        <v>53</v>
      </c>
      <c r="B127" s="24" t="s">
        <v>35</v>
      </c>
      <c r="C127" s="26" t="s">
        <v>65</v>
      </c>
      <c r="D127" s="26">
        <v>600</v>
      </c>
      <c r="E127" s="27">
        <f>E128</f>
        <v>700000</v>
      </c>
      <c r="F127" s="27">
        <f>F128</f>
        <v>0</v>
      </c>
      <c r="G127" s="25">
        <f t="shared" si="3"/>
        <v>700000</v>
      </c>
      <c r="H127" s="3"/>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row>
    <row r="128" spans="1:34" s="16" customFormat="1" ht="30.75">
      <c r="A128" s="31" t="s">
        <v>63</v>
      </c>
      <c r="B128" s="24" t="s">
        <v>35</v>
      </c>
      <c r="C128" s="26" t="s">
        <v>65</v>
      </c>
      <c r="D128" s="26">
        <v>630</v>
      </c>
      <c r="E128" s="27">
        <v>700000</v>
      </c>
      <c r="F128" s="27">
        <v>0</v>
      </c>
      <c r="G128" s="25">
        <f t="shared" si="3"/>
        <v>700000</v>
      </c>
      <c r="H128" s="3"/>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row>
    <row r="129" spans="1:34" s="16" customFormat="1" ht="46.5">
      <c r="A129" s="31" t="s">
        <v>66</v>
      </c>
      <c r="B129" s="24" t="s">
        <v>35</v>
      </c>
      <c r="C129" s="26" t="s">
        <v>67</v>
      </c>
      <c r="D129" s="26"/>
      <c r="E129" s="27">
        <f>SUM(E130,E146)</f>
        <v>43338358.92</v>
      </c>
      <c r="F129" s="27">
        <f>SUM(F130,F146)</f>
        <v>676640.8800000001</v>
      </c>
      <c r="G129" s="25">
        <f t="shared" si="3"/>
        <v>44014999.800000004</v>
      </c>
      <c r="H129" s="3"/>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row>
    <row r="130" spans="1:34" s="16" customFormat="1" ht="30.75">
      <c r="A130" s="31" t="s">
        <v>68</v>
      </c>
      <c r="B130" s="24" t="s">
        <v>35</v>
      </c>
      <c r="C130" s="26" t="s">
        <v>69</v>
      </c>
      <c r="D130" s="26"/>
      <c r="E130" s="27">
        <f>SUM(E131,E134,E137,E140,E143)</f>
        <v>7388358.92</v>
      </c>
      <c r="F130" s="27">
        <f>SUM(F131,F134,F137,F140,F143)</f>
        <v>-367966.1199999999</v>
      </c>
      <c r="G130" s="25">
        <f t="shared" si="3"/>
        <v>7020392.8</v>
      </c>
      <c r="H130" s="3"/>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s="16" customFormat="1" ht="30.75">
      <c r="A131" s="31" t="s">
        <v>70</v>
      </c>
      <c r="B131" s="24" t="s">
        <v>35</v>
      </c>
      <c r="C131" s="26" t="s">
        <v>71</v>
      </c>
      <c r="D131" s="26"/>
      <c r="E131" s="27">
        <f>E132</f>
        <v>154492.44</v>
      </c>
      <c r="F131" s="27">
        <f>F132</f>
        <v>66418.07</v>
      </c>
      <c r="G131" s="25">
        <f t="shared" si="3"/>
        <v>220910.51</v>
      </c>
      <c r="H131" s="3"/>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s="16" customFormat="1" ht="30.75">
      <c r="A132" s="28" t="s">
        <v>664</v>
      </c>
      <c r="B132" s="24" t="s">
        <v>35</v>
      </c>
      <c r="C132" s="26" t="s">
        <v>71</v>
      </c>
      <c r="D132" s="26">
        <v>200</v>
      </c>
      <c r="E132" s="27">
        <f>E133</f>
        <v>154492.44</v>
      </c>
      <c r="F132" s="27">
        <f>F133</f>
        <v>66418.07</v>
      </c>
      <c r="G132" s="25">
        <f t="shared" si="3"/>
        <v>220910.51</v>
      </c>
      <c r="H132" s="3"/>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s="16" customFormat="1" ht="30.75">
      <c r="A133" s="28" t="s">
        <v>666</v>
      </c>
      <c r="B133" s="24" t="s">
        <v>35</v>
      </c>
      <c r="C133" s="26" t="s">
        <v>71</v>
      </c>
      <c r="D133" s="26">
        <v>240</v>
      </c>
      <c r="E133" s="27">
        <v>154492.44</v>
      </c>
      <c r="F133" s="27">
        <v>66418.07</v>
      </c>
      <c r="G133" s="25">
        <f t="shared" si="3"/>
        <v>220910.51</v>
      </c>
      <c r="H133" s="3"/>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s="44" customFormat="1" ht="47.25" customHeight="1">
      <c r="A134" s="48" t="s">
        <v>72</v>
      </c>
      <c r="B134" s="33" t="s">
        <v>35</v>
      </c>
      <c r="C134" s="36" t="s">
        <v>73</v>
      </c>
      <c r="D134" s="36"/>
      <c r="E134" s="37">
        <f>E135</f>
        <v>1503018.8900000001</v>
      </c>
      <c r="F134" s="37">
        <f>F135</f>
        <v>0</v>
      </c>
      <c r="G134" s="25">
        <f t="shared" si="3"/>
        <v>1503018.8900000001</v>
      </c>
      <c r="H134" s="38"/>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row>
    <row r="135" spans="1:34" s="44" customFormat="1" ht="30.75">
      <c r="A135" s="35" t="s">
        <v>664</v>
      </c>
      <c r="B135" s="33" t="s">
        <v>35</v>
      </c>
      <c r="C135" s="36" t="s">
        <v>73</v>
      </c>
      <c r="D135" s="36">
        <v>200</v>
      </c>
      <c r="E135" s="37">
        <f>E136</f>
        <v>1503018.8900000001</v>
      </c>
      <c r="F135" s="37">
        <f>F136</f>
        <v>0</v>
      </c>
      <c r="G135" s="25">
        <f t="shared" si="3"/>
        <v>1503018.8900000001</v>
      </c>
      <c r="H135" s="38"/>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row>
    <row r="136" spans="1:34" s="44" customFormat="1" ht="30.75">
      <c r="A136" s="35" t="s">
        <v>666</v>
      </c>
      <c r="B136" s="33" t="s">
        <v>35</v>
      </c>
      <c r="C136" s="36" t="s">
        <v>73</v>
      </c>
      <c r="D136" s="36">
        <v>240</v>
      </c>
      <c r="E136" s="37">
        <f>1352717+150301.89</f>
        <v>1503018.8900000001</v>
      </c>
      <c r="F136" s="37">
        <v>0</v>
      </c>
      <c r="G136" s="25">
        <f t="shared" si="3"/>
        <v>1503018.8900000001</v>
      </c>
      <c r="H136" s="38"/>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row>
    <row r="137" spans="1:34" s="44" customFormat="1" ht="69" customHeight="1">
      <c r="A137" s="48" t="s">
        <v>74</v>
      </c>
      <c r="B137" s="33" t="s">
        <v>35</v>
      </c>
      <c r="C137" s="36" t="s">
        <v>75</v>
      </c>
      <c r="D137" s="36"/>
      <c r="E137" s="37">
        <f>E138</f>
        <v>952056.67</v>
      </c>
      <c r="F137" s="37">
        <f>F138</f>
        <v>-664180.71</v>
      </c>
      <c r="G137" s="25">
        <f t="shared" si="3"/>
        <v>287875.9600000001</v>
      </c>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row>
    <row r="138" spans="1:34" s="44" customFormat="1" ht="30.75">
      <c r="A138" s="35" t="s">
        <v>664</v>
      </c>
      <c r="B138" s="33" t="s">
        <v>35</v>
      </c>
      <c r="C138" s="36" t="s">
        <v>75</v>
      </c>
      <c r="D138" s="36">
        <v>200</v>
      </c>
      <c r="E138" s="37">
        <f>E139</f>
        <v>952056.67</v>
      </c>
      <c r="F138" s="37">
        <f>F139</f>
        <v>-664180.71</v>
      </c>
      <c r="G138" s="25">
        <f t="shared" si="3"/>
        <v>287875.9600000001</v>
      </c>
      <c r="H138" s="38"/>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row>
    <row r="139" spans="1:34" s="44" customFormat="1" ht="30.75">
      <c r="A139" s="35" t="s">
        <v>666</v>
      </c>
      <c r="B139" s="33" t="s">
        <v>35</v>
      </c>
      <c r="C139" s="36" t="s">
        <v>75</v>
      </c>
      <c r="D139" s="36">
        <v>240</v>
      </c>
      <c r="E139" s="37">
        <v>952056.67</v>
      </c>
      <c r="F139" s="37">
        <f>-597762.64-66418.07</f>
        <v>-664180.71</v>
      </c>
      <c r="G139" s="25">
        <f t="shared" si="3"/>
        <v>287875.9600000001</v>
      </c>
      <c r="H139" s="38"/>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row>
    <row r="140" spans="1:34" s="16" customFormat="1" ht="46.5">
      <c r="A140" s="31" t="s">
        <v>76</v>
      </c>
      <c r="B140" s="24" t="s">
        <v>35</v>
      </c>
      <c r="C140" s="26" t="s">
        <v>77</v>
      </c>
      <c r="D140" s="26"/>
      <c r="E140" s="27">
        <f>E141</f>
        <v>300000</v>
      </c>
      <c r="F140" s="27">
        <f>F141</f>
        <v>0</v>
      </c>
      <c r="G140" s="25">
        <f t="shared" si="3"/>
        <v>300000</v>
      </c>
      <c r="H140" s="3"/>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row>
    <row r="141" spans="1:34" s="16" customFormat="1" ht="30.75">
      <c r="A141" s="28" t="s">
        <v>664</v>
      </c>
      <c r="B141" s="24" t="s">
        <v>35</v>
      </c>
      <c r="C141" s="26" t="s">
        <v>77</v>
      </c>
      <c r="D141" s="26">
        <v>200</v>
      </c>
      <c r="E141" s="27">
        <f>E142</f>
        <v>300000</v>
      </c>
      <c r="F141" s="27">
        <f>F142</f>
        <v>0</v>
      </c>
      <c r="G141" s="25">
        <f t="shared" si="3"/>
        <v>300000</v>
      </c>
      <c r="H141" s="3"/>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s="16" customFormat="1" ht="30.75">
      <c r="A142" s="28" t="s">
        <v>666</v>
      </c>
      <c r="B142" s="24" t="s">
        <v>35</v>
      </c>
      <c r="C142" s="26" t="s">
        <v>77</v>
      </c>
      <c r="D142" s="26">
        <v>240</v>
      </c>
      <c r="E142" s="27">
        <v>300000</v>
      </c>
      <c r="F142" s="27">
        <v>0</v>
      </c>
      <c r="G142" s="25">
        <f t="shared" si="3"/>
        <v>300000</v>
      </c>
      <c r="H142" s="3"/>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row>
    <row r="143" spans="1:34" s="16" customFormat="1" ht="30.75">
      <c r="A143" s="31" t="s">
        <v>78</v>
      </c>
      <c r="B143" s="24" t="s">
        <v>35</v>
      </c>
      <c r="C143" s="26" t="s">
        <v>79</v>
      </c>
      <c r="D143" s="26"/>
      <c r="E143" s="27">
        <f>E144</f>
        <v>4478790.92</v>
      </c>
      <c r="F143" s="27">
        <f>F144</f>
        <v>229796.52</v>
      </c>
      <c r="G143" s="25">
        <f t="shared" si="3"/>
        <v>4708587.4399999995</v>
      </c>
      <c r="H143" s="3"/>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spans="1:34" s="16" customFormat="1" ht="30.75">
      <c r="A144" s="28" t="s">
        <v>664</v>
      </c>
      <c r="B144" s="24" t="s">
        <v>35</v>
      </c>
      <c r="C144" s="26" t="s">
        <v>79</v>
      </c>
      <c r="D144" s="26">
        <v>200</v>
      </c>
      <c r="E144" s="27">
        <f>E145</f>
        <v>4478790.92</v>
      </c>
      <c r="F144" s="27">
        <f>F145</f>
        <v>229796.52</v>
      </c>
      <c r="G144" s="25">
        <f t="shared" si="3"/>
        <v>4708587.4399999995</v>
      </c>
      <c r="H144" s="3"/>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row>
    <row r="145" spans="1:34" s="16" customFormat="1" ht="30.75">
      <c r="A145" s="28" t="s">
        <v>666</v>
      </c>
      <c r="B145" s="24" t="s">
        <v>35</v>
      </c>
      <c r="C145" s="26" t="s">
        <v>79</v>
      </c>
      <c r="D145" s="26">
        <v>240</v>
      </c>
      <c r="E145" s="27">
        <v>4478790.92</v>
      </c>
      <c r="F145" s="27">
        <v>229796.52</v>
      </c>
      <c r="G145" s="25">
        <f t="shared" si="3"/>
        <v>4708587.4399999995</v>
      </c>
      <c r="H145" s="3"/>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row>
    <row r="146" spans="1:34" s="3" customFormat="1" ht="33.75" customHeight="1">
      <c r="A146" s="28" t="s">
        <v>80</v>
      </c>
      <c r="B146" s="24" t="s">
        <v>35</v>
      </c>
      <c r="C146" s="26" t="s">
        <v>81</v>
      </c>
      <c r="D146" s="26"/>
      <c r="E146" s="27">
        <f>E147</f>
        <v>35950000</v>
      </c>
      <c r="F146" s="27">
        <f>F147</f>
        <v>1044607</v>
      </c>
      <c r="G146" s="25">
        <f t="shared" si="3"/>
        <v>36994607</v>
      </c>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row>
    <row r="147" spans="1:7" ht="62.25">
      <c r="A147" s="31" t="s">
        <v>82</v>
      </c>
      <c r="B147" s="24" t="s">
        <v>35</v>
      </c>
      <c r="C147" s="26" t="s">
        <v>83</v>
      </c>
      <c r="D147" s="26"/>
      <c r="E147" s="27">
        <f>SUM(E148,E150,E152)</f>
        <v>35950000</v>
      </c>
      <c r="F147" s="27">
        <f>SUM(F148,F150,F152)</f>
        <v>1044607</v>
      </c>
      <c r="G147" s="25">
        <f t="shared" si="3"/>
        <v>36994607</v>
      </c>
    </row>
    <row r="148" spans="1:34" s="16" customFormat="1" ht="62.25">
      <c r="A148" s="23" t="s">
        <v>660</v>
      </c>
      <c r="B148" s="24" t="s">
        <v>35</v>
      </c>
      <c r="C148" s="26" t="s">
        <v>83</v>
      </c>
      <c r="D148" s="26">
        <v>100</v>
      </c>
      <c r="E148" s="27">
        <f>E149</f>
        <v>31917880</v>
      </c>
      <c r="F148" s="27">
        <f>F149</f>
        <v>-207393</v>
      </c>
      <c r="G148" s="25">
        <f aca="true" t="shared" si="6" ref="G148:G207">SUM(E148:F148)</f>
        <v>31710487</v>
      </c>
      <c r="H148" s="3"/>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row>
    <row r="149" spans="1:34" s="16" customFormat="1" ht="15">
      <c r="A149" s="23" t="s">
        <v>46</v>
      </c>
      <c r="B149" s="24" t="s">
        <v>35</v>
      </c>
      <c r="C149" s="26" t="s">
        <v>83</v>
      </c>
      <c r="D149" s="26">
        <v>110</v>
      </c>
      <c r="E149" s="27">
        <v>31917880</v>
      </c>
      <c r="F149" s="27">
        <v>-207393</v>
      </c>
      <c r="G149" s="25">
        <f t="shared" si="6"/>
        <v>31710487</v>
      </c>
      <c r="H149" s="3"/>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row>
    <row r="150" spans="1:7" ht="30.75">
      <c r="A150" s="28" t="s">
        <v>664</v>
      </c>
      <c r="B150" s="24" t="s">
        <v>35</v>
      </c>
      <c r="C150" s="26" t="s">
        <v>83</v>
      </c>
      <c r="D150" s="26">
        <v>200</v>
      </c>
      <c r="E150" s="27">
        <f>E151</f>
        <v>3940000</v>
      </c>
      <c r="F150" s="27">
        <f>F151</f>
        <v>1252000</v>
      </c>
      <c r="G150" s="25">
        <f t="shared" si="6"/>
        <v>5192000</v>
      </c>
    </row>
    <row r="151" spans="1:34" s="16" customFormat="1" ht="30.75">
      <c r="A151" s="28" t="s">
        <v>666</v>
      </c>
      <c r="B151" s="24" t="s">
        <v>35</v>
      </c>
      <c r="C151" s="26" t="s">
        <v>83</v>
      </c>
      <c r="D151" s="26">
        <v>240</v>
      </c>
      <c r="E151" s="27">
        <v>3940000</v>
      </c>
      <c r="F151" s="27">
        <f>1200000+52000</f>
        <v>1252000</v>
      </c>
      <c r="G151" s="25">
        <f t="shared" si="6"/>
        <v>5192000</v>
      </c>
      <c r="H151" s="3"/>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row>
    <row r="152" spans="1:34" s="16" customFormat="1" ht="15">
      <c r="A152" s="28" t="s">
        <v>668</v>
      </c>
      <c r="B152" s="24" t="s">
        <v>35</v>
      </c>
      <c r="C152" s="26" t="s">
        <v>83</v>
      </c>
      <c r="D152" s="26">
        <v>800</v>
      </c>
      <c r="E152" s="27">
        <f>E153</f>
        <v>92120</v>
      </c>
      <c r="F152" s="27">
        <f>F153</f>
        <v>0</v>
      </c>
      <c r="G152" s="25">
        <f t="shared" si="6"/>
        <v>92120</v>
      </c>
      <c r="H152" s="3"/>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row>
    <row r="153" spans="1:34" s="16" customFormat="1" ht="15">
      <c r="A153" s="28" t="s">
        <v>670</v>
      </c>
      <c r="B153" s="24" t="s">
        <v>35</v>
      </c>
      <c r="C153" s="26" t="s">
        <v>83</v>
      </c>
      <c r="D153" s="26">
        <v>850</v>
      </c>
      <c r="E153" s="27">
        <v>92120</v>
      </c>
      <c r="F153" s="27">
        <v>0</v>
      </c>
      <c r="G153" s="25">
        <f t="shared" si="6"/>
        <v>92120</v>
      </c>
      <c r="H153" s="3"/>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s="16" customFormat="1" ht="15.75">
      <c r="A154" s="30" t="s">
        <v>674</v>
      </c>
      <c r="B154" s="24" t="s">
        <v>35</v>
      </c>
      <c r="C154" s="26" t="s">
        <v>675</v>
      </c>
      <c r="D154" s="21"/>
      <c r="E154" s="25">
        <f>SUM(E155,E184,E168)</f>
        <v>46127592.69</v>
      </c>
      <c r="F154" s="25">
        <f>SUM(F155,F184,F168)</f>
        <v>31156538.419999998</v>
      </c>
      <c r="G154" s="25">
        <f t="shared" si="6"/>
        <v>77284131.11</v>
      </c>
      <c r="H154" s="3"/>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row>
    <row r="155" spans="1:34" s="16" customFormat="1" ht="30.75">
      <c r="A155" s="31" t="s">
        <v>19</v>
      </c>
      <c r="B155" s="24" t="s">
        <v>35</v>
      </c>
      <c r="C155" s="26" t="s">
        <v>20</v>
      </c>
      <c r="D155" s="26"/>
      <c r="E155" s="27">
        <f>SUM(E156,E159,E162,E165)</f>
        <v>1820000</v>
      </c>
      <c r="F155" s="27">
        <f>SUM(F156,F159,F162,F165)</f>
        <v>200000</v>
      </c>
      <c r="G155" s="25">
        <f t="shared" si="6"/>
        <v>2020000</v>
      </c>
      <c r="H155" s="3"/>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row>
    <row r="156" spans="1:34" s="16" customFormat="1" ht="46.5">
      <c r="A156" s="31" t="s">
        <v>84</v>
      </c>
      <c r="B156" s="24" t="s">
        <v>35</v>
      </c>
      <c r="C156" s="26" t="s">
        <v>85</v>
      </c>
      <c r="D156" s="26"/>
      <c r="E156" s="27">
        <f>E157</f>
        <v>300000</v>
      </c>
      <c r="F156" s="27">
        <f>F157</f>
        <v>200000</v>
      </c>
      <c r="G156" s="25">
        <f t="shared" si="6"/>
        <v>500000</v>
      </c>
      <c r="H156" s="3"/>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row>
    <row r="157" spans="1:34" s="16" customFormat="1" ht="30.75">
      <c r="A157" s="28" t="s">
        <v>664</v>
      </c>
      <c r="B157" s="24" t="s">
        <v>35</v>
      </c>
      <c r="C157" s="26" t="s">
        <v>85</v>
      </c>
      <c r="D157" s="26">
        <v>200</v>
      </c>
      <c r="E157" s="27">
        <f>E158</f>
        <v>300000</v>
      </c>
      <c r="F157" s="27">
        <f>F158</f>
        <v>200000</v>
      </c>
      <c r="G157" s="25">
        <f t="shared" si="6"/>
        <v>500000</v>
      </c>
      <c r="H157" s="3"/>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row>
    <row r="158" spans="1:34" s="16" customFormat="1" ht="30.75">
      <c r="A158" s="28" t="s">
        <v>666</v>
      </c>
      <c r="B158" s="24" t="s">
        <v>35</v>
      </c>
      <c r="C158" s="26" t="s">
        <v>85</v>
      </c>
      <c r="D158" s="26">
        <v>240</v>
      </c>
      <c r="E158" s="27">
        <v>300000</v>
      </c>
      <c r="F158" s="27">
        <v>200000</v>
      </c>
      <c r="G158" s="25">
        <f t="shared" si="6"/>
        <v>500000</v>
      </c>
      <c r="H158" s="3"/>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row>
    <row r="159" spans="1:34" s="3" customFormat="1" ht="46.5">
      <c r="A159" s="31" t="s">
        <v>86</v>
      </c>
      <c r="B159" s="24" t="s">
        <v>35</v>
      </c>
      <c r="C159" s="26" t="s">
        <v>87</v>
      </c>
      <c r="D159" s="26"/>
      <c r="E159" s="27">
        <f>E160</f>
        <v>200000</v>
      </c>
      <c r="F159" s="27">
        <f>F160</f>
        <v>0</v>
      </c>
      <c r="G159" s="25">
        <f t="shared" si="6"/>
        <v>200000</v>
      </c>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row>
    <row r="160" spans="1:7" ht="30.75">
      <c r="A160" s="31" t="s">
        <v>53</v>
      </c>
      <c r="B160" s="24" t="s">
        <v>35</v>
      </c>
      <c r="C160" s="26" t="s">
        <v>87</v>
      </c>
      <c r="D160" s="26">
        <v>600</v>
      </c>
      <c r="E160" s="27">
        <f>E161</f>
        <v>200000</v>
      </c>
      <c r="F160" s="27">
        <f>F161</f>
        <v>0</v>
      </c>
      <c r="G160" s="25">
        <f t="shared" si="6"/>
        <v>200000</v>
      </c>
    </row>
    <row r="161" spans="1:34" s="16" customFormat="1" ht="30.75">
      <c r="A161" s="31" t="s">
        <v>63</v>
      </c>
      <c r="B161" s="24" t="s">
        <v>35</v>
      </c>
      <c r="C161" s="26" t="s">
        <v>87</v>
      </c>
      <c r="D161" s="26">
        <v>630</v>
      </c>
      <c r="E161" s="49">
        <v>200000</v>
      </c>
      <c r="F161" s="49">
        <v>0</v>
      </c>
      <c r="G161" s="25">
        <f t="shared" si="6"/>
        <v>200000</v>
      </c>
      <c r="H161" s="3"/>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row>
    <row r="162" spans="1:34" s="16" customFormat="1" ht="144" customHeight="1">
      <c r="A162" s="31" t="s">
        <v>88</v>
      </c>
      <c r="B162" s="24" t="s">
        <v>35</v>
      </c>
      <c r="C162" s="26" t="s">
        <v>89</v>
      </c>
      <c r="D162" s="26"/>
      <c r="E162" s="49">
        <f>E163</f>
        <v>500000</v>
      </c>
      <c r="F162" s="49">
        <f>F163</f>
        <v>0</v>
      </c>
      <c r="G162" s="25">
        <f t="shared" si="6"/>
        <v>500000</v>
      </c>
      <c r="H162" s="3"/>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row>
    <row r="163" spans="1:7" ht="30.75">
      <c r="A163" s="31" t="s">
        <v>53</v>
      </c>
      <c r="B163" s="24" t="s">
        <v>35</v>
      </c>
      <c r="C163" s="26" t="s">
        <v>89</v>
      </c>
      <c r="D163" s="26">
        <v>600</v>
      </c>
      <c r="E163" s="49">
        <f>E164</f>
        <v>500000</v>
      </c>
      <c r="F163" s="49">
        <f>F164</f>
        <v>0</v>
      </c>
      <c r="G163" s="25">
        <f t="shared" si="6"/>
        <v>500000</v>
      </c>
    </row>
    <row r="164" spans="1:7" ht="30.75">
      <c r="A164" s="31" t="s">
        <v>63</v>
      </c>
      <c r="B164" s="24" t="s">
        <v>35</v>
      </c>
      <c r="C164" s="26" t="s">
        <v>89</v>
      </c>
      <c r="D164" s="26">
        <v>630</v>
      </c>
      <c r="E164" s="49">
        <v>500000</v>
      </c>
      <c r="F164" s="49">
        <v>0</v>
      </c>
      <c r="G164" s="25">
        <f t="shared" si="6"/>
        <v>500000</v>
      </c>
    </row>
    <row r="165" spans="1:7" ht="62.25">
      <c r="A165" s="62" t="s">
        <v>90</v>
      </c>
      <c r="B165" s="24" t="s">
        <v>35</v>
      </c>
      <c r="C165" s="26" t="s">
        <v>91</v>
      </c>
      <c r="D165" s="26"/>
      <c r="E165" s="27">
        <f>E166</f>
        <v>820000</v>
      </c>
      <c r="F165" s="27">
        <f>F166</f>
        <v>0</v>
      </c>
      <c r="G165" s="25">
        <f t="shared" si="6"/>
        <v>820000</v>
      </c>
    </row>
    <row r="166" spans="1:34" s="16" customFormat="1" ht="15">
      <c r="A166" s="28" t="s">
        <v>668</v>
      </c>
      <c r="B166" s="24" t="s">
        <v>35</v>
      </c>
      <c r="C166" s="26" t="s">
        <v>91</v>
      </c>
      <c r="D166" s="26">
        <v>800</v>
      </c>
      <c r="E166" s="27">
        <f>E167</f>
        <v>820000</v>
      </c>
      <c r="F166" s="27">
        <f>F167</f>
        <v>0</v>
      </c>
      <c r="G166" s="25">
        <f t="shared" si="6"/>
        <v>820000</v>
      </c>
      <c r="H166" s="3"/>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row>
    <row r="167" spans="1:34" s="16" customFormat="1" ht="15">
      <c r="A167" s="28" t="s">
        <v>670</v>
      </c>
      <c r="B167" s="24" t="s">
        <v>35</v>
      </c>
      <c r="C167" s="26" t="s">
        <v>91</v>
      </c>
      <c r="D167" s="26">
        <v>850</v>
      </c>
      <c r="E167" s="49">
        <v>820000</v>
      </c>
      <c r="F167" s="49">
        <v>0</v>
      </c>
      <c r="G167" s="25">
        <f t="shared" si="6"/>
        <v>820000</v>
      </c>
      <c r="H167" s="3"/>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row>
    <row r="168" spans="1:34" s="16" customFormat="1" ht="46.5">
      <c r="A168" s="31" t="s">
        <v>6</v>
      </c>
      <c r="B168" s="24" t="s">
        <v>35</v>
      </c>
      <c r="C168" s="26" t="s">
        <v>7</v>
      </c>
      <c r="D168" s="26"/>
      <c r="E168" s="27">
        <f>SUM(E178,E181,E169,E172,E175)</f>
        <v>15067292.69</v>
      </c>
      <c r="F168" s="27">
        <f>SUM(F178,F181,F169,F172,F175)</f>
        <v>30956538.419999998</v>
      </c>
      <c r="G168" s="25">
        <f t="shared" si="6"/>
        <v>46023831.11</v>
      </c>
      <c r="H168" s="3"/>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row>
    <row r="169" spans="1:34" s="16" customFormat="1" ht="30" customHeight="1">
      <c r="A169" s="31" t="s">
        <v>92</v>
      </c>
      <c r="B169" s="33" t="s">
        <v>35</v>
      </c>
      <c r="C169" s="26" t="s">
        <v>93</v>
      </c>
      <c r="D169" s="26"/>
      <c r="E169" s="27">
        <f>E170</f>
        <v>10487595.67</v>
      </c>
      <c r="F169" s="27">
        <f>F170</f>
        <v>28176582.319999997</v>
      </c>
      <c r="G169" s="25">
        <f t="shared" si="6"/>
        <v>38664177.989999995</v>
      </c>
      <c r="H169" s="3"/>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row>
    <row r="170" spans="1:34" s="16" customFormat="1" ht="30.75">
      <c r="A170" s="31" t="s">
        <v>53</v>
      </c>
      <c r="B170" s="33" t="s">
        <v>35</v>
      </c>
      <c r="C170" s="26" t="s">
        <v>93</v>
      </c>
      <c r="D170" s="24" t="s">
        <v>94</v>
      </c>
      <c r="E170" s="27">
        <f>E171</f>
        <v>10487595.67</v>
      </c>
      <c r="F170" s="27">
        <f>F171</f>
        <v>28176582.319999997</v>
      </c>
      <c r="G170" s="25">
        <f t="shared" si="6"/>
        <v>38664177.989999995</v>
      </c>
      <c r="H170" s="3"/>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spans="1:34" s="16" customFormat="1" ht="15">
      <c r="A171" s="31" t="s">
        <v>54</v>
      </c>
      <c r="B171" s="33" t="s">
        <v>35</v>
      </c>
      <c r="C171" s="26" t="s">
        <v>93</v>
      </c>
      <c r="D171" s="24" t="s">
        <v>95</v>
      </c>
      <c r="E171" s="27">
        <v>10487595.67</v>
      </c>
      <c r="F171" s="27">
        <f>10809204.44+10749442.32+6617935.56</f>
        <v>28176582.319999997</v>
      </c>
      <c r="G171" s="25">
        <f t="shared" si="6"/>
        <v>38664177.989999995</v>
      </c>
      <c r="H171" s="3"/>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row>
    <row r="172" spans="1:34" s="16" customFormat="1" ht="82.5" customHeight="1">
      <c r="A172" s="31" t="s">
        <v>96</v>
      </c>
      <c r="B172" s="33" t="s">
        <v>35</v>
      </c>
      <c r="C172" s="26" t="s">
        <v>97</v>
      </c>
      <c r="D172" s="24"/>
      <c r="E172" s="27">
        <f>E173</f>
        <v>2680414.02</v>
      </c>
      <c r="F172" s="27">
        <f>F173</f>
        <v>1422566.1</v>
      </c>
      <c r="G172" s="25">
        <f t="shared" si="6"/>
        <v>4102980.12</v>
      </c>
      <c r="H172" s="3"/>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row>
    <row r="173" spans="1:34" s="16" customFormat="1" ht="30.75">
      <c r="A173" s="31" t="s">
        <v>53</v>
      </c>
      <c r="B173" s="33" t="s">
        <v>35</v>
      </c>
      <c r="C173" s="26" t="s">
        <v>97</v>
      </c>
      <c r="D173" s="24" t="s">
        <v>94</v>
      </c>
      <c r="E173" s="27">
        <f>E174</f>
        <v>2680414.02</v>
      </c>
      <c r="F173" s="27">
        <f>F174</f>
        <v>1422566.1</v>
      </c>
      <c r="G173" s="25">
        <f t="shared" si="6"/>
        <v>4102980.12</v>
      </c>
      <c r="H173" s="3"/>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row>
    <row r="174" spans="1:34" s="16" customFormat="1" ht="15">
      <c r="A174" s="31" t="s">
        <v>54</v>
      </c>
      <c r="B174" s="33" t="s">
        <v>35</v>
      </c>
      <c r="C174" s="26" t="s">
        <v>97</v>
      </c>
      <c r="D174" s="24" t="s">
        <v>95</v>
      </c>
      <c r="E174" s="27">
        <v>2680414.02</v>
      </c>
      <c r="F174" s="27">
        <f>374359.5+569026.44+239590.08+239590.08</f>
        <v>1422566.1</v>
      </c>
      <c r="G174" s="25">
        <f t="shared" si="6"/>
        <v>4102980.12</v>
      </c>
      <c r="H174" s="3"/>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row>
    <row r="175" spans="1:34" s="16" customFormat="1" ht="52.5" customHeight="1">
      <c r="A175" s="31" t="s">
        <v>627</v>
      </c>
      <c r="B175" s="33" t="s">
        <v>35</v>
      </c>
      <c r="C175" s="26" t="s">
        <v>626</v>
      </c>
      <c r="D175" s="24"/>
      <c r="E175" s="27">
        <f>E176</f>
        <v>0</v>
      </c>
      <c r="F175" s="27">
        <f>F176</f>
        <v>1500000</v>
      </c>
      <c r="G175" s="25">
        <f t="shared" si="6"/>
        <v>1500000</v>
      </c>
      <c r="H175" s="3"/>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row>
    <row r="176" spans="1:34" s="16" customFormat="1" ht="30.75">
      <c r="A176" s="35" t="s">
        <v>664</v>
      </c>
      <c r="B176" s="33" t="s">
        <v>35</v>
      </c>
      <c r="C176" s="26" t="s">
        <v>626</v>
      </c>
      <c r="D176" s="36">
        <v>200</v>
      </c>
      <c r="E176" s="27">
        <f>E177</f>
        <v>0</v>
      </c>
      <c r="F176" s="27">
        <f>F177</f>
        <v>1500000</v>
      </c>
      <c r="G176" s="25">
        <f t="shared" si="6"/>
        <v>1500000</v>
      </c>
      <c r="H176" s="3"/>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row>
    <row r="177" spans="1:34" s="16" customFormat="1" ht="30.75">
      <c r="A177" s="48" t="s">
        <v>666</v>
      </c>
      <c r="B177" s="33" t="s">
        <v>35</v>
      </c>
      <c r="C177" s="26" t="s">
        <v>626</v>
      </c>
      <c r="D177" s="36">
        <v>240</v>
      </c>
      <c r="E177" s="27">
        <v>0</v>
      </c>
      <c r="F177" s="27">
        <v>1500000</v>
      </c>
      <c r="G177" s="25">
        <f t="shared" si="6"/>
        <v>1500000</v>
      </c>
      <c r="H177" s="3"/>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spans="1:34" s="44" customFormat="1" ht="30.75">
      <c r="A178" s="48" t="s">
        <v>98</v>
      </c>
      <c r="B178" s="33" t="s">
        <v>35</v>
      </c>
      <c r="C178" s="36" t="s">
        <v>99</v>
      </c>
      <c r="D178" s="36"/>
      <c r="E178" s="40">
        <f>E179</f>
        <v>1756673</v>
      </c>
      <c r="F178" s="40">
        <f>F179</f>
        <v>0</v>
      </c>
      <c r="G178" s="25">
        <f t="shared" si="6"/>
        <v>1756673</v>
      </c>
      <c r="H178" s="38"/>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row>
    <row r="179" spans="1:34" s="44" customFormat="1" ht="30.75">
      <c r="A179" s="35" t="s">
        <v>664</v>
      </c>
      <c r="B179" s="33" t="s">
        <v>35</v>
      </c>
      <c r="C179" s="36" t="s">
        <v>99</v>
      </c>
      <c r="D179" s="36">
        <v>200</v>
      </c>
      <c r="E179" s="40">
        <f>E180</f>
        <v>1756673</v>
      </c>
      <c r="F179" s="40">
        <f>F180</f>
        <v>0</v>
      </c>
      <c r="G179" s="25">
        <f t="shared" si="6"/>
        <v>1756673</v>
      </c>
      <c r="H179" s="38"/>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row>
    <row r="180" spans="1:34" s="44" customFormat="1" ht="30.75">
      <c r="A180" s="48" t="s">
        <v>666</v>
      </c>
      <c r="B180" s="33" t="s">
        <v>35</v>
      </c>
      <c r="C180" s="36" t="s">
        <v>99</v>
      </c>
      <c r="D180" s="36">
        <v>240</v>
      </c>
      <c r="E180" s="37">
        <v>1756673</v>
      </c>
      <c r="F180" s="37">
        <v>0</v>
      </c>
      <c r="G180" s="25">
        <f t="shared" si="6"/>
        <v>1756673</v>
      </c>
      <c r="H180" s="38"/>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row>
    <row r="181" spans="1:34" s="44" customFormat="1" ht="30.75">
      <c r="A181" s="35" t="s">
        <v>100</v>
      </c>
      <c r="B181" s="33" t="s">
        <v>35</v>
      </c>
      <c r="C181" s="36" t="s">
        <v>101</v>
      </c>
      <c r="D181" s="36"/>
      <c r="E181" s="40">
        <f>E182</f>
        <v>142610</v>
      </c>
      <c r="F181" s="40">
        <f>F182</f>
        <v>-142610</v>
      </c>
      <c r="G181" s="25">
        <f t="shared" si="6"/>
        <v>0</v>
      </c>
      <c r="H181" s="38"/>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row>
    <row r="182" spans="1:34" s="44" customFormat="1" ht="30.75">
      <c r="A182" s="35" t="s">
        <v>664</v>
      </c>
      <c r="B182" s="33" t="s">
        <v>35</v>
      </c>
      <c r="C182" s="36" t="s">
        <v>101</v>
      </c>
      <c r="D182" s="36">
        <v>200</v>
      </c>
      <c r="E182" s="40">
        <f>E183</f>
        <v>142610</v>
      </c>
      <c r="F182" s="40">
        <f>F183</f>
        <v>-142610</v>
      </c>
      <c r="G182" s="25">
        <f t="shared" si="6"/>
        <v>0</v>
      </c>
      <c r="H182" s="38"/>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row>
    <row r="183" spans="1:34" s="44" customFormat="1" ht="30.75">
      <c r="A183" s="35" t="s">
        <v>666</v>
      </c>
      <c r="B183" s="33" t="s">
        <v>35</v>
      </c>
      <c r="C183" s="36" t="s">
        <v>101</v>
      </c>
      <c r="D183" s="36">
        <v>240</v>
      </c>
      <c r="E183" s="40">
        <f>128349+14261</f>
        <v>142610</v>
      </c>
      <c r="F183" s="49">
        <f>-128349-14261</f>
        <v>-142610</v>
      </c>
      <c r="G183" s="25">
        <f t="shared" si="6"/>
        <v>0</v>
      </c>
      <c r="H183" s="38"/>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row>
    <row r="184" spans="1:34" s="16" customFormat="1" ht="15">
      <c r="A184" s="31" t="s">
        <v>102</v>
      </c>
      <c r="B184" s="24" t="s">
        <v>35</v>
      </c>
      <c r="C184" s="26" t="s">
        <v>103</v>
      </c>
      <c r="D184" s="26"/>
      <c r="E184" s="27">
        <f>SUM(E191,E194,E185,E188,E197,E202)</f>
        <v>29240300</v>
      </c>
      <c r="F184" s="27">
        <f>SUM(F191,F194,F185,F188,F197,F202)</f>
        <v>0</v>
      </c>
      <c r="G184" s="25">
        <f t="shared" si="6"/>
        <v>29240300</v>
      </c>
      <c r="H184" s="3"/>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row>
    <row r="185" spans="1:34" s="16" customFormat="1" ht="46.5">
      <c r="A185" s="31" t="s">
        <v>104</v>
      </c>
      <c r="B185" s="24" t="s">
        <v>35</v>
      </c>
      <c r="C185" s="26" t="s">
        <v>105</v>
      </c>
      <c r="D185" s="24"/>
      <c r="E185" s="27">
        <f>E186</f>
        <v>1200000</v>
      </c>
      <c r="F185" s="27">
        <f>F186</f>
        <v>0</v>
      </c>
      <c r="G185" s="25">
        <f t="shared" si="6"/>
        <v>1200000</v>
      </c>
      <c r="H185" s="3"/>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row>
    <row r="186" spans="1:34" s="16" customFormat="1" ht="30.75">
      <c r="A186" s="31" t="s">
        <v>53</v>
      </c>
      <c r="B186" s="24" t="s">
        <v>35</v>
      </c>
      <c r="C186" s="26" t="s">
        <v>105</v>
      </c>
      <c r="D186" s="24" t="s">
        <v>94</v>
      </c>
      <c r="E186" s="27">
        <f>E187</f>
        <v>1200000</v>
      </c>
      <c r="F186" s="27">
        <f>F187</f>
        <v>0</v>
      </c>
      <c r="G186" s="25">
        <f t="shared" si="6"/>
        <v>1200000</v>
      </c>
      <c r="H186" s="3"/>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row>
    <row r="187" spans="1:34" s="16" customFormat="1" ht="15">
      <c r="A187" s="31" t="s">
        <v>54</v>
      </c>
      <c r="B187" s="24" t="s">
        <v>35</v>
      </c>
      <c r="C187" s="26" t="s">
        <v>105</v>
      </c>
      <c r="D187" s="24" t="s">
        <v>95</v>
      </c>
      <c r="E187" s="27">
        <v>1200000</v>
      </c>
      <c r="F187" s="27">
        <v>0</v>
      </c>
      <c r="G187" s="25">
        <f t="shared" si="6"/>
        <v>1200000</v>
      </c>
      <c r="H187" s="3"/>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row>
    <row r="188" spans="1:34" s="16" customFormat="1" ht="78">
      <c r="A188" s="31" t="s">
        <v>106</v>
      </c>
      <c r="B188" s="24" t="s">
        <v>35</v>
      </c>
      <c r="C188" s="26" t="s">
        <v>107</v>
      </c>
      <c r="D188" s="24"/>
      <c r="E188" s="27">
        <f>E189</f>
        <v>27000000</v>
      </c>
      <c r="F188" s="27">
        <f>F189</f>
        <v>0</v>
      </c>
      <c r="G188" s="25">
        <f t="shared" si="6"/>
        <v>27000000</v>
      </c>
      <c r="H188" s="3"/>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row>
    <row r="189" spans="1:34" s="16" customFormat="1" ht="30.75">
      <c r="A189" s="31" t="s">
        <v>53</v>
      </c>
      <c r="B189" s="24" t="s">
        <v>35</v>
      </c>
      <c r="C189" s="26" t="s">
        <v>107</v>
      </c>
      <c r="D189" s="24" t="s">
        <v>94</v>
      </c>
      <c r="E189" s="27">
        <f>E190</f>
        <v>27000000</v>
      </c>
      <c r="F189" s="27">
        <f>F190</f>
        <v>0</v>
      </c>
      <c r="G189" s="25">
        <f t="shared" si="6"/>
        <v>27000000</v>
      </c>
      <c r="H189" s="3"/>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row>
    <row r="190" spans="1:34" s="16" customFormat="1" ht="15">
      <c r="A190" s="31" t="s">
        <v>54</v>
      </c>
      <c r="B190" s="24" t="s">
        <v>35</v>
      </c>
      <c r="C190" s="26" t="s">
        <v>107</v>
      </c>
      <c r="D190" s="24" t="s">
        <v>95</v>
      </c>
      <c r="E190" s="27">
        <v>27000000</v>
      </c>
      <c r="F190" s="27">
        <v>0</v>
      </c>
      <c r="G190" s="25">
        <f t="shared" si="6"/>
        <v>27000000</v>
      </c>
      <c r="H190" s="3"/>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row>
    <row r="191" spans="1:34" s="16" customFormat="1" ht="20.25" customHeight="1">
      <c r="A191" s="31" t="s">
        <v>109</v>
      </c>
      <c r="B191" s="24" t="s">
        <v>35</v>
      </c>
      <c r="C191" s="26" t="s">
        <v>110</v>
      </c>
      <c r="D191" s="26"/>
      <c r="E191" s="27">
        <f>E192</f>
        <v>400000</v>
      </c>
      <c r="F191" s="27">
        <f>F192</f>
        <v>0</v>
      </c>
      <c r="G191" s="25">
        <f t="shared" si="6"/>
        <v>400000</v>
      </c>
      <c r="H191" s="3"/>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row>
    <row r="192" spans="1:34" s="65" customFormat="1" ht="30.75">
      <c r="A192" s="28" t="s">
        <v>664</v>
      </c>
      <c r="B192" s="24" t="s">
        <v>35</v>
      </c>
      <c r="C192" s="26" t="s">
        <v>110</v>
      </c>
      <c r="D192" s="26">
        <v>200</v>
      </c>
      <c r="E192" s="27">
        <f>E193</f>
        <v>400000</v>
      </c>
      <c r="F192" s="27">
        <f>F193</f>
        <v>0</v>
      </c>
      <c r="G192" s="25">
        <f t="shared" si="6"/>
        <v>400000</v>
      </c>
      <c r="H192" s="63"/>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row>
    <row r="193" spans="1:34" s="16" customFormat="1" ht="30.75">
      <c r="A193" s="28" t="s">
        <v>666</v>
      </c>
      <c r="B193" s="24" t="s">
        <v>35</v>
      </c>
      <c r="C193" s="26" t="s">
        <v>110</v>
      </c>
      <c r="D193" s="26">
        <v>240</v>
      </c>
      <c r="E193" s="27">
        <v>400000</v>
      </c>
      <c r="F193" s="27">
        <v>0</v>
      </c>
      <c r="G193" s="25">
        <f t="shared" si="6"/>
        <v>400000</v>
      </c>
      <c r="H193" s="3"/>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row>
    <row r="194" spans="1:34" s="16" customFormat="1" ht="15">
      <c r="A194" s="31" t="s">
        <v>111</v>
      </c>
      <c r="B194" s="24" t="s">
        <v>35</v>
      </c>
      <c r="C194" s="26" t="s">
        <v>112</v>
      </c>
      <c r="D194" s="26"/>
      <c r="E194" s="27">
        <f>E195</f>
        <v>500000</v>
      </c>
      <c r="F194" s="27">
        <f>F195</f>
        <v>0</v>
      </c>
      <c r="G194" s="25">
        <f t="shared" si="6"/>
        <v>500000</v>
      </c>
      <c r="H194" s="3"/>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row>
    <row r="195" spans="1:34" s="16" customFormat="1" ht="15">
      <c r="A195" s="28" t="s">
        <v>668</v>
      </c>
      <c r="B195" s="24" t="s">
        <v>35</v>
      </c>
      <c r="C195" s="26" t="s">
        <v>112</v>
      </c>
      <c r="D195" s="26">
        <v>800</v>
      </c>
      <c r="E195" s="27">
        <f>E196</f>
        <v>500000</v>
      </c>
      <c r="F195" s="27">
        <f>F196</f>
        <v>0</v>
      </c>
      <c r="G195" s="25">
        <f t="shared" si="6"/>
        <v>500000</v>
      </c>
      <c r="H195" s="3"/>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row>
    <row r="196" spans="1:34" s="16" customFormat="1" ht="15">
      <c r="A196" s="31" t="s">
        <v>111</v>
      </c>
      <c r="B196" s="24" t="s">
        <v>35</v>
      </c>
      <c r="C196" s="26" t="s">
        <v>112</v>
      </c>
      <c r="D196" s="26">
        <v>830</v>
      </c>
      <c r="E196" s="27">
        <v>500000</v>
      </c>
      <c r="F196" s="27">
        <v>0</v>
      </c>
      <c r="G196" s="25">
        <f t="shared" si="6"/>
        <v>500000</v>
      </c>
      <c r="H196" s="3"/>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row>
    <row r="197" spans="1:34" s="16" customFormat="1" ht="63.75" customHeight="1">
      <c r="A197" s="31" t="s">
        <v>113</v>
      </c>
      <c r="B197" s="24" t="s">
        <v>35</v>
      </c>
      <c r="C197" s="26" t="s">
        <v>114</v>
      </c>
      <c r="D197" s="26"/>
      <c r="E197" s="27">
        <f>SUM(E198,E200)</f>
        <v>100000</v>
      </c>
      <c r="F197" s="27">
        <f>SUM(F198,F200)</f>
        <v>0</v>
      </c>
      <c r="G197" s="25">
        <f t="shared" si="6"/>
        <v>100000</v>
      </c>
      <c r="H197" s="3"/>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spans="1:34" s="16" customFormat="1" ht="34.5" customHeight="1">
      <c r="A198" s="28" t="s">
        <v>664</v>
      </c>
      <c r="B198" s="24" t="s">
        <v>35</v>
      </c>
      <c r="C198" s="26" t="s">
        <v>114</v>
      </c>
      <c r="D198" s="26">
        <v>200</v>
      </c>
      <c r="E198" s="27">
        <f>E199</f>
        <v>991</v>
      </c>
      <c r="F198" s="27">
        <f>F199</f>
        <v>0</v>
      </c>
      <c r="G198" s="25">
        <f t="shared" si="6"/>
        <v>991</v>
      </c>
      <c r="H198" s="3"/>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row>
    <row r="199" spans="1:34" s="16" customFormat="1" ht="30.75" customHeight="1">
      <c r="A199" s="28" t="s">
        <v>666</v>
      </c>
      <c r="B199" s="24" t="s">
        <v>35</v>
      </c>
      <c r="C199" s="26" t="s">
        <v>114</v>
      </c>
      <c r="D199" s="26">
        <v>240</v>
      </c>
      <c r="E199" s="27">
        <v>991</v>
      </c>
      <c r="F199" s="27">
        <v>0</v>
      </c>
      <c r="G199" s="25">
        <f t="shared" si="6"/>
        <v>991</v>
      </c>
      <c r="H199" s="3"/>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row>
    <row r="200" spans="1:34" s="16" customFormat="1" ht="19.5" customHeight="1">
      <c r="A200" s="31" t="s">
        <v>115</v>
      </c>
      <c r="B200" s="24" t="s">
        <v>35</v>
      </c>
      <c r="C200" s="26" t="s">
        <v>114</v>
      </c>
      <c r="D200" s="26">
        <v>300</v>
      </c>
      <c r="E200" s="27">
        <f>E201</f>
        <v>99009</v>
      </c>
      <c r="F200" s="27">
        <f>F201</f>
        <v>0</v>
      </c>
      <c r="G200" s="25">
        <f t="shared" si="6"/>
        <v>99009</v>
      </c>
      <c r="H200" s="3"/>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row>
    <row r="201" spans="1:34" s="16" customFormat="1" ht="33.75" customHeight="1">
      <c r="A201" s="31" t="s">
        <v>116</v>
      </c>
      <c r="B201" s="24" t="s">
        <v>35</v>
      </c>
      <c r="C201" s="26" t="s">
        <v>114</v>
      </c>
      <c r="D201" s="26">
        <v>320</v>
      </c>
      <c r="E201" s="27">
        <v>99009</v>
      </c>
      <c r="F201" s="27">
        <v>0</v>
      </c>
      <c r="G201" s="25">
        <f t="shared" si="6"/>
        <v>99009</v>
      </c>
      <c r="H201" s="3"/>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row>
    <row r="202" spans="1:34" s="16" customFormat="1" ht="48" customHeight="1">
      <c r="A202" s="31" t="s">
        <v>117</v>
      </c>
      <c r="B202" s="24" t="s">
        <v>35</v>
      </c>
      <c r="C202" s="26" t="s">
        <v>118</v>
      </c>
      <c r="D202" s="26"/>
      <c r="E202" s="27">
        <f>E203</f>
        <v>40300</v>
      </c>
      <c r="F202" s="27">
        <f>F203</f>
        <v>0</v>
      </c>
      <c r="G202" s="25">
        <f t="shared" si="6"/>
        <v>40300</v>
      </c>
      <c r="H202" s="3"/>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row>
    <row r="203" spans="1:34" s="16" customFormat="1" ht="30.75">
      <c r="A203" s="28" t="s">
        <v>664</v>
      </c>
      <c r="B203" s="24" t="s">
        <v>35</v>
      </c>
      <c r="C203" s="26" t="s">
        <v>118</v>
      </c>
      <c r="D203" s="26">
        <v>200</v>
      </c>
      <c r="E203" s="27">
        <f>E204</f>
        <v>40300</v>
      </c>
      <c r="F203" s="27">
        <f>F204</f>
        <v>0</v>
      </c>
      <c r="G203" s="25">
        <f t="shared" si="6"/>
        <v>40300</v>
      </c>
      <c r="H203" s="3"/>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row>
    <row r="204" spans="1:34" s="16" customFormat="1" ht="30.75">
      <c r="A204" s="28" t="s">
        <v>666</v>
      </c>
      <c r="B204" s="24" t="s">
        <v>35</v>
      </c>
      <c r="C204" s="26" t="s">
        <v>118</v>
      </c>
      <c r="D204" s="26">
        <v>240</v>
      </c>
      <c r="E204" s="27">
        <v>40300</v>
      </c>
      <c r="F204" s="27">
        <v>0</v>
      </c>
      <c r="G204" s="25">
        <f t="shared" si="6"/>
        <v>40300</v>
      </c>
      <c r="H204" s="3"/>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spans="1:34" s="16" customFormat="1" ht="30.75">
      <c r="A205" s="17" t="s">
        <v>119</v>
      </c>
      <c r="B205" s="18" t="s">
        <v>120</v>
      </c>
      <c r="C205" s="26"/>
      <c r="D205" s="26"/>
      <c r="E205" s="66">
        <f>SUM(E206,E217)</f>
        <v>37631220</v>
      </c>
      <c r="F205" s="66">
        <f>SUM(F206,F217)</f>
        <v>828047</v>
      </c>
      <c r="G205" s="19">
        <f t="shared" si="6"/>
        <v>38459267</v>
      </c>
      <c r="H205" s="3"/>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s="16" customFormat="1" ht="15.75">
      <c r="A206" s="20" t="s">
        <v>121</v>
      </c>
      <c r="B206" s="21" t="s">
        <v>122</v>
      </c>
      <c r="C206" s="46"/>
      <c r="D206" s="46"/>
      <c r="E206" s="47">
        <f>E207</f>
        <v>4628220</v>
      </c>
      <c r="F206" s="47">
        <f>F207</f>
        <v>828047</v>
      </c>
      <c r="G206" s="22">
        <f t="shared" si="6"/>
        <v>5456267</v>
      </c>
      <c r="H206" s="3"/>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row>
    <row r="207" spans="1:34" s="16" customFormat="1" ht="15.75">
      <c r="A207" s="30" t="s">
        <v>674</v>
      </c>
      <c r="B207" s="24" t="s">
        <v>122</v>
      </c>
      <c r="C207" s="26" t="s">
        <v>675</v>
      </c>
      <c r="D207" s="21"/>
      <c r="E207" s="27">
        <f>E208</f>
        <v>4628220</v>
      </c>
      <c r="F207" s="27">
        <f>F208</f>
        <v>828047</v>
      </c>
      <c r="G207" s="25">
        <f t="shared" si="6"/>
        <v>5456267</v>
      </c>
      <c r="H207" s="3"/>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row>
    <row r="208" spans="1:34" s="16" customFormat="1" ht="15">
      <c r="A208" s="31" t="s">
        <v>676</v>
      </c>
      <c r="B208" s="24" t="s">
        <v>122</v>
      </c>
      <c r="C208" s="26" t="s">
        <v>677</v>
      </c>
      <c r="D208" s="26"/>
      <c r="E208" s="27">
        <f>E212+E209</f>
        <v>4628220</v>
      </c>
      <c r="F208" s="27">
        <f>F212+F209</f>
        <v>828047</v>
      </c>
      <c r="G208" s="25">
        <f aca="true" t="shared" si="7" ref="G208:G277">SUM(E208:F208)</f>
        <v>5456267</v>
      </c>
      <c r="H208" s="3"/>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row>
    <row r="209" spans="1:34" s="16" customFormat="1" ht="52.5" customHeight="1">
      <c r="A209" s="31" t="s">
        <v>629</v>
      </c>
      <c r="B209" s="33" t="s">
        <v>122</v>
      </c>
      <c r="C209" s="26" t="s">
        <v>628</v>
      </c>
      <c r="D209" s="26"/>
      <c r="E209" s="27">
        <f>E210</f>
        <v>0</v>
      </c>
      <c r="F209" s="27">
        <f>F210</f>
        <v>828047</v>
      </c>
      <c r="G209" s="25">
        <f t="shared" si="7"/>
        <v>828047</v>
      </c>
      <c r="H209" s="3"/>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row>
    <row r="210" spans="1:34" s="16" customFormat="1" ht="66.75" customHeight="1">
      <c r="A210" s="34" t="s">
        <v>660</v>
      </c>
      <c r="B210" s="33" t="s">
        <v>122</v>
      </c>
      <c r="C210" s="26" t="s">
        <v>628</v>
      </c>
      <c r="D210" s="33" t="s">
        <v>661</v>
      </c>
      <c r="E210" s="27">
        <f>E211</f>
        <v>0</v>
      </c>
      <c r="F210" s="27">
        <f>F211</f>
        <v>828047</v>
      </c>
      <c r="G210" s="25">
        <f t="shared" si="7"/>
        <v>828047</v>
      </c>
      <c r="H210" s="3"/>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row>
    <row r="211" spans="1:34" s="16" customFormat="1" ht="30.75">
      <c r="A211" s="34" t="s">
        <v>662</v>
      </c>
      <c r="B211" s="33" t="s">
        <v>122</v>
      </c>
      <c r="C211" s="26" t="s">
        <v>628</v>
      </c>
      <c r="D211" s="33" t="s">
        <v>663</v>
      </c>
      <c r="E211" s="27">
        <v>0</v>
      </c>
      <c r="F211" s="27">
        <v>828047</v>
      </c>
      <c r="G211" s="25">
        <f t="shared" si="7"/>
        <v>828047</v>
      </c>
      <c r="H211" s="3"/>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row>
    <row r="212" spans="1:34" s="44" customFormat="1" ht="30.75">
      <c r="A212" s="35" t="s">
        <v>123</v>
      </c>
      <c r="B212" s="33" t="s">
        <v>122</v>
      </c>
      <c r="C212" s="36" t="s">
        <v>124</v>
      </c>
      <c r="D212" s="33"/>
      <c r="E212" s="37">
        <f>E213+E215</f>
        <v>4628220</v>
      </c>
      <c r="F212" s="37">
        <f>F213+F215</f>
        <v>0</v>
      </c>
      <c r="G212" s="25">
        <f t="shared" si="7"/>
        <v>4628220</v>
      </c>
      <c r="H212" s="38"/>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row>
    <row r="213" spans="1:34" s="44" customFormat="1" ht="69" customHeight="1">
      <c r="A213" s="34" t="s">
        <v>660</v>
      </c>
      <c r="B213" s="33" t="s">
        <v>122</v>
      </c>
      <c r="C213" s="36" t="s">
        <v>124</v>
      </c>
      <c r="D213" s="33" t="s">
        <v>661</v>
      </c>
      <c r="E213" s="37">
        <f>E214</f>
        <v>3713263.16</v>
      </c>
      <c r="F213" s="37">
        <f>F214</f>
        <v>0</v>
      </c>
      <c r="G213" s="25">
        <f t="shared" si="7"/>
        <v>3713263.16</v>
      </c>
      <c r="H213" s="38"/>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row>
    <row r="214" spans="1:34" s="44" customFormat="1" ht="30.75">
      <c r="A214" s="34" t="s">
        <v>662</v>
      </c>
      <c r="B214" s="33" t="s">
        <v>122</v>
      </c>
      <c r="C214" s="36" t="s">
        <v>124</v>
      </c>
      <c r="D214" s="33" t="s">
        <v>663</v>
      </c>
      <c r="E214" s="37">
        <v>3713263.16</v>
      </c>
      <c r="F214" s="37">
        <v>0</v>
      </c>
      <c r="G214" s="25">
        <f t="shared" si="7"/>
        <v>3713263.16</v>
      </c>
      <c r="H214" s="38"/>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row>
    <row r="215" spans="1:34" s="44" customFormat="1" ht="30.75">
      <c r="A215" s="35" t="s">
        <v>664</v>
      </c>
      <c r="B215" s="33" t="s">
        <v>122</v>
      </c>
      <c r="C215" s="36" t="s">
        <v>124</v>
      </c>
      <c r="D215" s="33" t="s">
        <v>665</v>
      </c>
      <c r="E215" s="37">
        <f>E216</f>
        <v>914956.84</v>
      </c>
      <c r="F215" s="37">
        <f>F216</f>
        <v>0</v>
      </c>
      <c r="G215" s="25">
        <f t="shared" si="7"/>
        <v>914956.84</v>
      </c>
      <c r="H215" s="38"/>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row>
    <row r="216" spans="1:34" s="44" customFormat="1" ht="30.75">
      <c r="A216" s="34" t="s">
        <v>666</v>
      </c>
      <c r="B216" s="33" t="s">
        <v>122</v>
      </c>
      <c r="C216" s="36" t="s">
        <v>124</v>
      </c>
      <c r="D216" s="33" t="s">
        <v>667</v>
      </c>
      <c r="E216" s="37">
        <v>914956.84</v>
      </c>
      <c r="F216" s="37">
        <v>0</v>
      </c>
      <c r="G216" s="25">
        <f t="shared" si="7"/>
        <v>914956.84</v>
      </c>
      <c r="H216" s="38"/>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row>
    <row r="217" spans="1:34" s="16" customFormat="1" ht="48">
      <c r="A217" s="20" t="s">
        <v>127</v>
      </c>
      <c r="B217" s="21" t="s">
        <v>128</v>
      </c>
      <c r="C217" s="26"/>
      <c r="D217" s="26"/>
      <c r="E217" s="47">
        <f>SUM(E218)</f>
        <v>33003000</v>
      </c>
      <c r="F217" s="47">
        <f>SUM(F218)</f>
        <v>0</v>
      </c>
      <c r="G217" s="22">
        <f t="shared" si="7"/>
        <v>33003000</v>
      </c>
      <c r="H217" s="3"/>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row>
    <row r="218" spans="1:34" s="16" customFormat="1" ht="30.75">
      <c r="A218" s="31" t="s">
        <v>129</v>
      </c>
      <c r="B218" s="24" t="s">
        <v>128</v>
      </c>
      <c r="C218" s="26" t="s">
        <v>56</v>
      </c>
      <c r="D218" s="26"/>
      <c r="E218" s="27">
        <f>E219</f>
        <v>33003000</v>
      </c>
      <c r="F218" s="27">
        <f>F219</f>
        <v>0</v>
      </c>
      <c r="G218" s="25">
        <f t="shared" si="7"/>
        <v>33003000</v>
      </c>
      <c r="H218" s="3"/>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row>
    <row r="219" spans="1:34" s="16" customFormat="1" ht="30.75">
      <c r="A219" s="61" t="s">
        <v>130</v>
      </c>
      <c r="B219" s="24" t="s">
        <v>128</v>
      </c>
      <c r="C219" s="26" t="s">
        <v>131</v>
      </c>
      <c r="D219" s="26"/>
      <c r="E219" s="49">
        <f>E220+E227</f>
        <v>33003000</v>
      </c>
      <c r="F219" s="49">
        <f>F220+F227</f>
        <v>0</v>
      </c>
      <c r="G219" s="25">
        <f t="shared" si="7"/>
        <v>33003000</v>
      </c>
      <c r="H219" s="3"/>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row>
    <row r="220" spans="1:34" s="16" customFormat="1" ht="51" customHeight="1">
      <c r="A220" s="61" t="s">
        <v>132</v>
      </c>
      <c r="B220" s="24" t="s">
        <v>128</v>
      </c>
      <c r="C220" s="26" t="s">
        <v>133</v>
      </c>
      <c r="D220" s="26"/>
      <c r="E220" s="49">
        <f>SUM(E221,E223,E225)</f>
        <v>32173000</v>
      </c>
      <c r="F220" s="49">
        <f>SUM(F221,F223,F225)</f>
        <v>0</v>
      </c>
      <c r="G220" s="25">
        <f t="shared" si="7"/>
        <v>32173000</v>
      </c>
      <c r="H220" s="3"/>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row>
    <row r="221" spans="1:34" s="16" customFormat="1" ht="67.5" customHeight="1">
      <c r="A221" s="23" t="s">
        <v>660</v>
      </c>
      <c r="B221" s="24" t="s">
        <v>128</v>
      </c>
      <c r="C221" s="26" t="s">
        <v>133</v>
      </c>
      <c r="D221" s="26">
        <v>100</v>
      </c>
      <c r="E221" s="49">
        <f>E222</f>
        <v>26500000</v>
      </c>
      <c r="F221" s="49">
        <f>F222</f>
        <v>0</v>
      </c>
      <c r="G221" s="25">
        <f t="shared" si="7"/>
        <v>26500000</v>
      </c>
      <c r="H221" s="3"/>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row>
    <row r="222" spans="1:34" s="16" customFormat="1" ht="15">
      <c r="A222" s="23" t="s">
        <v>46</v>
      </c>
      <c r="B222" s="24" t="s">
        <v>128</v>
      </c>
      <c r="C222" s="26" t="s">
        <v>133</v>
      </c>
      <c r="D222" s="26">
        <v>110</v>
      </c>
      <c r="E222" s="49">
        <v>26500000</v>
      </c>
      <c r="F222" s="49"/>
      <c r="G222" s="25">
        <f t="shared" si="7"/>
        <v>26500000</v>
      </c>
      <c r="H222" s="3"/>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row>
    <row r="223" spans="1:34" s="16" customFormat="1" ht="30.75">
      <c r="A223" s="28" t="s">
        <v>664</v>
      </c>
      <c r="B223" s="24" t="s">
        <v>128</v>
      </c>
      <c r="C223" s="26" t="s">
        <v>133</v>
      </c>
      <c r="D223" s="26">
        <v>200</v>
      </c>
      <c r="E223" s="49">
        <f>E224</f>
        <v>5618000</v>
      </c>
      <c r="F223" s="49">
        <f>F224</f>
        <v>0</v>
      </c>
      <c r="G223" s="25">
        <f t="shared" si="7"/>
        <v>5618000</v>
      </c>
      <c r="H223" s="3"/>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row>
    <row r="224" spans="1:34" s="16" customFormat="1" ht="30.75">
      <c r="A224" s="28" t="s">
        <v>666</v>
      </c>
      <c r="B224" s="24" t="s">
        <v>128</v>
      </c>
      <c r="C224" s="26" t="s">
        <v>133</v>
      </c>
      <c r="D224" s="26">
        <v>240</v>
      </c>
      <c r="E224" s="49">
        <v>5618000</v>
      </c>
      <c r="F224" s="49">
        <v>0</v>
      </c>
      <c r="G224" s="25">
        <f t="shared" si="7"/>
        <v>5618000</v>
      </c>
      <c r="H224" s="3"/>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row>
    <row r="225" spans="1:34" s="16" customFormat="1" ht="15">
      <c r="A225" s="28" t="s">
        <v>668</v>
      </c>
      <c r="B225" s="24" t="s">
        <v>128</v>
      </c>
      <c r="C225" s="26" t="s">
        <v>133</v>
      </c>
      <c r="D225" s="26">
        <v>800</v>
      </c>
      <c r="E225" s="49">
        <f>E226</f>
        <v>55000</v>
      </c>
      <c r="F225" s="49">
        <f>F226</f>
        <v>0</v>
      </c>
      <c r="G225" s="25">
        <f t="shared" si="7"/>
        <v>55000</v>
      </c>
      <c r="H225" s="3"/>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spans="1:34" s="16" customFormat="1" ht="15">
      <c r="A226" s="28" t="s">
        <v>670</v>
      </c>
      <c r="B226" s="24" t="s">
        <v>128</v>
      </c>
      <c r="C226" s="26" t="s">
        <v>133</v>
      </c>
      <c r="D226" s="26">
        <v>850</v>
      </c>
      <c r="E226" s="49">
        <v>55000</v>
      </c>
      <c r="F226" s="49">
        <v>0</v>
      </c>
      <c r="G226" s="25">
        <f t="shared" si="7"/>
        <v>55000</v>
      </c>
      <c r="H226" s="3"/>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row>
    <row r="227" spans="1:34" s="16" customFormat="1" ht="30.75">
      <c r="A227" s="61" t="s">
        <v>134</v>
      </c>
      <c r="B227" s="24" t="s">
        <v>128</v>
      </c>
      <c r="C227" s="26" t="s">
        <v>135</v>
      </c>
      <c r="D227" s="26"/>
      <c r="E227" s="49">
        <f>E228</f>
        <v>830000</v>
      </c>
      <c r="F227" s="49">
        <f>F228</f>
        <v>0</v>
      </c>
      <c r="G227" s="25">
        <f t="shared" si="7"/>
        <v>830000</v>
      </c>
      <c r="H227" s="3"/>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row>
    <row r="228" spans="1:34" s="16" customFormat="1" ht="30.75">
      <c r="A228" s="28" t="s">
        <v>664</v>
      </c>
      <c r="B228" s="24" t="s">
        <v>128</v>
      </c>
      <c r="C228" s="26" t="s">
        <v>135</v>
      </c>
      <c r="D228" s="26">
        <v>200</v>
      </c>
      <c r="E228" s="49">
        <f>E229</f>
        <v>830000</v>
      </c>
      <c r="F228" s="49">
        <f>F229</f>
        <v>0</v>
      </c>
      <c r="G228" s="25">
        <f t="shared" si="7"/>
        <v>830000</v>
      </c>
      <c r="H228" s="3"/>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s="16" customFormat="1" ht="30.75">
      <c r="A229" s="28" t="s">
        <v>666</v>
      </c>
      <c r="B229" s="24" t="s">
        <v>128</v>
      </c>
      <c r="C229" s="26" t="s">
        <v>135</v>
      </c>
      <c r="D229" s="26">
        <v>240</v>
      </c>
      <c r="E229" s="49">
        <v>830000</v>
      </c>
      <c r="F229" s="49">
        <v>0</v>
      </c>
      <c r="G229" s="25">
        <f t="shared" si="7"/>
        <v>830000</v>
      </c>
      <c r="H229" s="3"/>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row>
    <row r="230" spans="1:34" s="16" customFormat="1" ht="15">
      <c r="A230" s="17" t="s">
        <v>136</v>
      </c>
      <c r="B230" s="18" t="s">
        <v>137</v>
      </c>
      <c r="C230" s="59"/>
      <c r="D230" s="59"/>
      <c r="E230" s="66">
        <f>SUM(E242,E231,E298,E292)</f>
        <v>821062332.33</v>
      </c>
      <c r="F230" s="66">
        <f>SUM(F242,F231,F298,F292)</f>
        <v>25700019.589999996</v>
      </c>
      <c r="G230" s="19">
        <f t="shared" si="7"/>
        <v>846762351.9200001</v>
      </c>
      <c r="H230" s="3"/>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row>
    <row r="231" spans="1:34" s="16" customFormat="1" ht="15.75">
      <c r="A231" s="20" t="s">
        <v>138</v>
      </c>
      <c r="B231" s="21" t="s">
        <v>139</v>
      </c>
      <c r="C231" s="59"/>
      <c r="D231" s="59"/>
      <c r="E231" s="47">
        <f>E232</f>
        <v>80015100</v>
      </c>
      <c r="F231" s="47">
        <f>F232</f>
        <v>15000</v>
      </c>
      <c r="G231" s="22">
        <f t="shared" si="7"/>
        <v>80030100</v>
      </c>
      <c r="H231" s="3"/>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spans="1:34" s="16" customFormat="1" ht="15.75">
      <c r="A232" s="30" t="s">
        <v>674</v>
      </c>
      <c r="B232" s="24" t="s">
        <v>139</v>
      </c>
      <c r="C232" s="26" t="s">
        <v>675</v>
      </c>
      <c r="D232" s="21"/>
      <c r="E232" s="25">
        <f>E233</f>
        <v>80015100</v>
      </c>
      <c r="F232" s="25">
        <f>F233</f>
        <v>15000</v>
      </c>
      <c r="G232" s="25">
        <f t="shared" si="7"/>
        <v>80030100</v>
      </c>
      <c r="H232" s="3"/>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row>
    <row r="233" spans="1:34" s="16" customFormat="1" ht="30.75">
      <c r="A233" s="31" t="s">
        <v>19</v>
      </c>
      <c r="B233" s="24" t="s">
        <v>139</v>
      </c>
      <c r="C233" s="26" t="s">
        <v>20</v>
      </c>
      <c r="D233" s="26"/>
      <c r="E233" s="27">
        <f>E234+E239</f>
        <v>80015100</v>
      </c>
      <c r="F233" s="27">
        <f>F234+F239</f>
        <v>15000</v>
      </c>
      <c r="G233" s="25">
        <f t="shared" si="7"/>
        <v>80030100</v>
      </c>
      <c r="H233" s="3"/>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s="3" customFormat="1" ht="15">
      <c r="A234" s="31" t="s">
        <v>140</v>
      </c>
      <c r="B234" s="24" t="s">
        <v>139</v>
      </c>
      <c r="C234" s="26" t="s">
        <v>141</v>
      </c>
      <c r="D234" s="26"/>
      <c r="E234" s="27">
        <f>E237+E235</f>
        <v>74515100</v>
      </c>
      <c r="F234" s="27">
        <f>F237+F235</f>
        <v>15000</v>
      </c>
      <c r="G234" s="25">
        <f t="shared" si="7"/>
        <v>74530100</v>
      </c>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row>
    <row r="235" spans="1:34" s="3" customFormat="1" ht="30.75">
      <c r="A235" s="28" t="s">
        <v>664</v>
      </c>
      <c r="B235" s="24" t="s">
        <v>139</v>
      </c>
      <c r="C235" s="26" t="s">
        <v>141</v>
      </c>
      <c r="D235" s="26">
        <v>200</v>
      </c>
      <c r="E235" s="27">
        <f>E236</f>
        <v>15100</v>
      </c>
      <c r="F235" s="27">
        <f>F236</f>
        <v>199551</v>
      </c>
      <c r="G235" s="25">
        <f t="shared" si="7"/>
        <v>214651</v>
      </c>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row>
    <row r="236" spans="1:34" s="3" customFormat="1" ht="30.75">
      <c r="A236" s="28" t="s">
        <v>666</v>
      </c>
      <c r="B236" s="24" t="s">
        <v>139</v>
      </c>
      <c r="C236" s="26" t="s">
        <v>141</v>
      </c>
      <c r="D236" s="26">
        <v>240</v>
      </c>
      <c r="E236" s="27">
        <v>15100</v>
      </c>
      <c r="F236" s="27">
        <f>15000+184551</f>
        <v>199551</v>
      </c>
      <c r="G236" s="25">
        <f t="shared" si="7"/>
        <v>214651</v>
      </c>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row>
    <row r="237" spans="1:34" s="16" customFormat="1" ht="15">
      <c r="A237" s="28" t="s">
        <v>668</v>
      </c>
      <c r="B237" s="24" t="s">
        <v>139</v>
      </c>
      <c r="C237" s="26" t="s">
        <v>141</v>
      </c>
      <c r="D237" s="26">
        <v>800</v>
      </c>
      <c r="E237" s="27">
        <f>E238</f>
        <v>74500000</v>
      </c>
      <c r="F237" s="27">
        <f>F238</f>
        <v>-184551</v>
      </c>
      <c r="G237" s="25">
        <f t="shared" si="7"/>
        <v>74315449</v>
      </c>
      <c r="H237" s="3"/>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s="16" customFormat="1" ht="46.5">
      <c r="A238" s="31" t="s">
        <v>142</v>
      </c>
      <c r="B238" s="24" t="s">
        <v>139</v>
      </c>
      <c r="C238" s="26" t="s">
        <v>141</v>
      </c>
      <c r="D238" s="26">
        <v>810</v>
      </c>
      <c r="E238" s="27">
        <v>74500000</v>
      </c>
      <c r="F238" s="27">
        <f>-184551-9600000+9600000</f>
        <v>-184551</v>
      </c>
      <c r="G238" s="25">
        <f t="shared" si="7"/>
        <v>74315449</v>
      </c>
      <c r="H238" s="3"/>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row>
    <row r="239" spans="1:34" s="16" customFormat="1" ht="48" customHeight="1">
      <c r="A239" s="31" t="s">
        <v>143</v>
      </c>
      <c r="B239" s="24" t="s">
        <v>139</v>
      </c>
      <c r="C239" s="26" t="s">
        <v>144</v>
      </c>
      <c r="D239" s="26"/>
      <c r="E239" s="27">
        <f>E240</f>
        <v>5500000</v>
      </c>
      <c r="F239" s="27">
        <f>F240</f>
        <v>0</v>
      </c>
      <c r="G239" s="25">
        <f t="shared" si="7"/>
        <v>5500000</v>
      </c>
      <c r="H239" s="3"/>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row>
    <row r="240" spans="1:34" s="16" customFormat="1" ht="15">
      <c r="A240" s="28" t="s">
        <v>668</v>
      </c>
      <c r="B240" s="24" t="s">
        <v>139</v>
      </c>
      <c r="C240" s="26" t="s">
        <v>144</v>
      </c>
      <c r="D240" s="26">
        <v>800</v>
      </c>
      <c r="E240" s="27">
        <f>E241</f>
        <v>5500000</v>
      </c>
      <c r="F240" s="27">
        <f>F241</f>
        <v>0</v>
      </c>
      <c r="G240" s="25">
        <f t="shared" si="7"/>
        <v>5500000</v>
      </c>
      <c r="H240" s="3"/>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row>
    <row r="241" spans="1:34" s="16" customFormat="1" ht="46.5">
      <c r="A241" s="31" t="s">
        <v>142</v>
      </c>
      <c r="B241" s="24" t="s">
        <v>139</v>
      </c>
      <c r="C241" s="26" t="s">
        <v>144</v>
      </c>
      <c r="D241" s="26">
        <v>810</v>
      </c>
      <c r="E241" s="27">
        <v>5500000</v>
      </c>
      <c r="F241" s="27">
        <v>0</v>
      </c>
      <c r="G241" s="25">
        <f t="shared" si="7"/>
        <v>5500000</v>
      </c>
      <c r="H241" s="3"/>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row>
    <row r="242" spans="1:34" s="16" customFormat="1" ht="15.75">
      <c r="A242" s="20" t="s">
        <v>145</v>
      </c>
      <c r="B242" s="67" t="s">
        <v>146</v>
      </c>
      <c r="C242" s="59"/>
      <c r="D242" s="59"/>
      <c r="E242" s="47">
        <f>E248+E243</f>
        <v>711933853.99</v>
      </c>
      <c r="F242" s="47">
        <f>F248+F243</f>
        <v>29911349.619999997</v>
      </c>
      <c r="G242" s="22">
        <f t="shared" si="7"/>
        <v>741845203.61</v>
      </c>
      <c r="H242" s="3"/>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spans="1:34" s="16" customFormat="1" ht="30.75">
      <c r="A243" s="23" t="s">
        <v>147</v>
      </c>
      <c r="B243" s="60" t="s">
        <v>146</v>
      </c>
      <c r="C243" s="24" t="s">
        <v>148</v>
      </c>
      <c r="D243" s="24"/>
      <c r="E243" s="27">
        <f aca="true" t="shared" si="8" ref="E243:F246">E244</f>
        <v>300000</v>
      </c>
      <c r="F243" s="27">
        <f t="shared" si="8"/>
        <v>0</v>
      </c>
      <c r="G243" s="25">
        <f t="shared" si="7"/>
        <v>300000</v>
      </c>
      <c r="H243" s="3"/>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row>
    <row r="244" spans="1:34" s="16" customFormat="1" ht="15">
      <c r="A244" s="68" t="s">
        <v>149</v>
      </c>
      <c r="B244" s="60" t="s">
        <v>146</v>
      </c>
      <c r="C244" s="24" t="s">
        <v>150</v>
      </c>
      <c r="D244" s="24"/>
      <c r="E244" s="27">
        <f t="shared" si="8"/>
        <v>300000</v>
      </c>
      <c r="F244" s="27">
        <f t="shared" si="8"/>
        <v>0</v>
      </c>
      <c r="G244" s="25">
        <f t="shared" si="7"/>
        <v>300000</v>
      </c>
      <c r="H244" s="3"/>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row>
    <row r="245" spans="1:34" s="16" customFormat="1" ht="30.75">
      <c r="A245" s="23" t="s">
        <v>151</v>
      </c>
      <c r="B245" s="60" t="s">
        <v>146</v>
      </c>
      <c r="C245" s="26" t="s">
        <v>152</v>
      </c>
      <c r="D245" s="24"/>
      <c r="E245" s="27">
        <f t="shared" si="8"/>
        <v>300000</v>
      </c>
      <c r="F245" s="27">
        <f t="shared" si="8"/>
        <v>0</v>
      </c>
      <c r="G245" s="25">
        <f t="shared" si="7"/>
        <v>300000</v>
      </c>
      <c r="H245" s="3"/>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row>
    <row r="246" spans="1:34" s="16" customFormat="1" ht="30.75">
      <c r="A246" s="28" t="s">
        <v>664</v>
      </c>
      <c r="B246" s="60" t="s">
        <v>146</v>
      </c>
      <c r="C246" s="26" t="s">
        <v>152</v>
      </c>
      <c r="D246" s="24" t="s">
        <v>665</v>
      </c>
      <c r="E246" s="27">
        <f t="shared" si="8"/>
        <v>300000</v>
      </c>
      <c r="F246" s="27">
        <f t="shared" si="8"/>
        <v>0</v>
      </c>
      <c r="G246" s="25">
        <f t="shared" si="7"/>
        <v>300000</v>
      </c>
      <c r="H246" s="3"/>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row>
    <row r="247" spans="1:34" s="16" customFormat="1" ht="30.75">
      <c r="A247" s="28" t="s">
        <v>666</v>
      </c>
      <c r="B247" s="60" t="s">
        <v>146</v>
      </c>
      <c r="C247" s="26" t="s">
        <v>152</v>
      </c>
      <c r="D247" s="24" t="s">
        <v>667</v>
      </c>
      <c r="E247" s="27">
        <v>300000</v>
      </c>
      <c r="F247" s="27">
        <v>0</v>
      </c>
      <c r="G247" s="25">
        <f t="shared" si="7"/>
        <v>300000</v>
      </c>
      <c r="H247" s="3"/>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row>
    <row r="248" spans="1:34" s="16" customFormat="1" ht="30.75">
      <c r="A248" s="31" t="s">
        <v>153</v>
      </c>
      <c r="B248" s="60" t="s">
        <v>146</v>
      </c>
      <c r="C248" s="26" t="s">
        <v>154</v>
      </c>
      <c r="D248" s="26"/>
      <c r="E248" s="27">
        <f>SUM(E249,E254,E257,E260,E265,E271,E280,E289,E283,E277,E268,E286,E274)</f>
        <v>711633853.99</v>
      </c>
      <c r="F248" s="27">
        <f>SUM(F249,F254,F257,F260,F265,F271,F280,F289,F283,F277,F268,F286,F274)</f>
        <v>29911349.619999997</v>
      </c>
      <c r="G248" s="25">
        <f t="shared" si="7"/>
        <v>741545203.61</v>
      </c>
      <c r="H248" s="3"/>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row>
    <row r="249" spans="1:34" s="16" customFormat="1" ht="30.75">
      <c r="A249" s="31" t="s">
        <v>155</v>
      </c>
      <c r="B249" s="60" t="s">
        <v>146</v>
      </c>
      <c r="C249" s="26" t="s">
        <v>156</v>
      </c>
      <c r="D249" s="26"/>
      <c r="E249" s="27">
        <f>E252+E250</f>
        <v>41150696.95</v>
      </c>
      <c r="F249" s="27">
        <f>F252+F250</f>
        <v>1814567.6400000001</v>
      </c>
      <c r="G249" s="25">
        <f t="shared" si="7"/>
        <v>42965264.59</v>
      </c>
      <c r="H249" s="3"/>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row>
    <row r="250" spans="1:34" s="16" customFormat="1" ht="30.75">
      <c r="A250" s="28" t="s">
        <v>664</v>
      </c>
      <c r="B250" s="60" t="s">
        <v>146</v>
      </c>
      <c r="C250" s="26" t="s">
        <v>156</v>
      </c>
      <c r="D250" s="26">
        <v>200</v>
      </c>
      <c r="E250" s="27">
        <f>E251</f>
        <v>31150696.95</v>
      </c>
      <c r="F250" s="27">
        <f>F251</f>
        <v>814567.64</v>
      </c>
      <c r="G250" s="25">
        <f t="shared" si="7"/>
        <v>31965264.59</v>
      </c>
      <c r="H250" s="3"/>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row>
    <row r="251" spans="1:34" s="16" customFormat="1" ht="30.75">
      <c r="A251" s="28" t="s">
        <v>666</v>
      </c>
      <c r="B251" s="60" t="s">
        <v>146</v>
      </c>
      <c r="C251" s="26" t="s">
        <v>156</v>
      </c>
      <c r="D251" s="26">
        <v>240</v>
      </c>
      <c r="E251" s="27">
        <v>31150696.95</v>
      </c>
      <c r="F251" s="27">
        <f>721000+93567.64</f>
        <v>814567.64</v>
      </c>
      <c r="G251" s="25">
        <f t="shared" si="7"/>
        <v>31965264.59</v>
      </c>
      <c r="H251" s="3"/>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spans="1:34" s="16" customFormat="1" ht="15">
      <c r="A252" s="31" t="s">
        <v>668</v>
      </c>
      <c r="B252" s="60" t="s">
        <v>146</v>
      </c>
      <c r="C252" s="26" t="s">
        <v>156</v>
      </c>
      <c r="D252" s="26">
        <v>800</v>
      </c>
      <c r="E252" s="27">
        <f>E253</f>
        <v>10000000</v>
      </c>
      <c r="F252" s="27">
        <f>F253</f>
        <v>1000000</v>
      </c>
      <c r="G252" s="25">
        <f t="shared" si="7"/>
        <v>11000000</v>
      </c>
      <c r="H252" s="3"/>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spans="1:34" s="16" customFormat="1" ht="46.5">
      <c r="A253" s="31" t="s">
        <v>142</v>
      </c>
      <c r="B253" s="60" t="s">
        <v>146</v>
      </c>
      <c r="C253" s="26" t="s">
        <v>156</v>
      </c>
      <c r="D253" s="26">
        <v>810</v>
      </c>
      <c r="E253" s="27">
        <v>10000000</v>
      </c>
      <c r="F253" s="27">
        <v>1000000</v>
      </c>
      <c r="G253" s="25">
        <f t="shared" si="7"/>
        <v>11000000</v>
      </c>
      <c r="H253" s="3"/>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row>
    <row r="254" spans="1:34" s="16" customFormat="1" ht="30.75">
      <c r="A254" s="31" t="s">
        <v>157</v>
      </c>
      <c r="B254" s="60" t="s">
        <v>146</v>
      </c>
      <c r="C254" s="26" t="s">
        <v>158</v>
      </c>
      <c r="D254" s="26"/>
      <c r="E254" s="27">
        <f>E255</f>
        <v>10000000</v>
      </c>
      <c r="F254" s="27">
        <f>F255</f>
        <v>0</v>
      </c>
      <c r="G254" s="25">
        <f t="shared" si="7"/>
        <v>10000000</v>
      </c>
      <c r="H254" s="3"/>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row>
    <row r="255" spans="1:34" s="3" customFormat="1" ht="15">
      <c r="A255" s="28" t="s">
        <v>668</v>
      </c>
      <c r="B255" s="60" t="s">
        <v>146</v>
      </c>
      <c r="C255" s="26" t="s">
        <v>158</v>
      </c>
      <c r="D255" s="26">
        <v>800</v>
      </c>
      <c r="E255" s="27">
        <f>E256</f>
        <v>10000000</v>
      </c>
      <c r="F255" s="27">
        <f>F256</f>
        <v>0</v>
      </c>
      <c r="G255" s="25">
        <f t="shared" si="7"/>
        <v>10000000</v>
      </c>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row>
    <row r="256" spans="1:34" s="3" customFormat="1" ht="46.5">
      <c r="A256" s="31" t="s">
        <v>142</v>
      </c>
      <c r="B256" s="60" t="s">
        <v>146</v>
      </c>
      <c r="C256" s="26" t="s">
        <v>158</v>
      </c>
      <c r="D256" s="26">
        <v>810</v>
      </c>
      <c r="E256" s="27">
        <v>10000000</v>
      </c>
      <c r="F256" s="27">
        <v>0</v>
      </c>
      <c r="G256" s="25">
        <f t="shared" si="7"/>
        <v>10000000</v>
      </c>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row>
    <row r="257" spans="1:34" s="3" customFormat="1" ht="39" customHeight="1">
      <c r="A257" s="31" t="s">
        <v>159</v>
      </c>
      <c r="B257" s="60" t="s">
        <v>146</v>
      </c>
      <c r="C257" s="26" t="s">
        <v>160</v>
      </c>
      <c r="D257" s="26"/>
      <c r="E257" s="27">
        <f>E258</f>
        <v>26800000</v>
      </c>
      <c r="F257" s="27">
        <f>F258</f>
        <v>0</v>
      </c>
      <c r="G257" s="25">
        <f t="shared" si="7"/>
        <v>26800000</v>
      </c>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row>
    <row r="258" spans="1:34" s="3" customFormat="1" ht="15">
      <c r="A258" s="28" t="s">
        <v>668</v>
      </c>
      <c r="B258" s="60" t="s">
        <v>146</v>
      </c>
      <c r="C258" s="26" t="s">
        <v>160</v>
      </c>
      <c r="D258" s="26">
        <v>800</v>
      </c>
      <c r="E258" s="27">
        <f>E259</f>
        <v>26800000</v>
      </c>
      <c r="F258" s="27">
        <f>F259</f>
        <v>0</v>
      </c>
      <c r="G258" s="25">
        <f t="shared" si="7"/>
        <v>26800000</v>
      </c>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row>
    <row r="259" spans="1:34" s="3" customFormat="1" ht="46.5">
      <c r="A259" s="31" t="s">
        <v>142</v>
      </c>
      <c r="B259" s="60" t="s">
        <v>146</v>
      </c>
      <c r="C259" s="26" t="s">
        <v>160</v>
      </c>
      <c r="D259" s="26">
        <v>810</v>
      </c>
      <c r="E259" s="27">
        <v>26800000</v>
      </c>
      <c r="F259" s="27">
        <v>0</v>
      </c>
      <c r="G259" s="25">
        <f t="shared" si="7"/>
        <v>26800000</v>
      </c>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row>
    <row r="260" spans="1:34" s="3" customFormat="1" ht="30.75">
      <c r="A260" s="31" t="s">
        <v>161</v>
      </c>
      <c r="B260" s="60" t="s">
        <v>146</v>
      </c>
      <c r="C260" s="26" t="s">
        <v>162</v>
      </c>
      <c r="D260" s="26"/>
      <c r="E260" s="27">
        <f>SUM(E261,E263)</f>
        <v>240756970</v>
      </c>
      <c r="F260" s="27">
        <f>SUM(F261,F263)</f>
        <v>28367708</v>
      </c>
      <c r="G260" s="25">
        <f t="shared" si="7"/>
        <v>269124678</v>
      </c>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row>
    <row r="261" spans="1:34" s="3" customFormat="1" ht="30.75">
      <c r="A261" s="28" t="s">
        <v>664</v>
      </c>
      <c r="B261" s="60" t="s">
        <v>146</v>
      </c>
      <c r="C261" s="26" t="s">
        <v>162</v>
      </c>
      <c r="D261" s="26">
        <v>200</v>
      </c>
      <c r="E261" s="27">
        <f>E262</f>
        <v>1256970</v>
      </c>
      <c r="F261" s="27">
        <f>F262</f>
        <v>0</v>
      </c>
      <c r="G261" s="25">
        <f t="shared" si="7"/>
        <v>1256970</v>
      </c>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row>
    <row r="262" spans="1:34" s="3" customFormat="1" ht="30.75">
      <c r="A262" s="28" t="s">
        <v>666</v>
      </c>
      <c r="B262" s="60" t="s">
        <v>146</v>
      </c>
      <c r="C262" s="26" t="s">
        <v>162</v>
      </c>
      <c r="D262" s="26">
        <v>240</v>
      </c>
      <c r="E262" s="27">
        <v>1256970</v>
      </c>
      <c r="F262" s="27">
        <v>0</v>
      </c>
      <c r="G262" s="25">
        <f t="shared" si="7"/>
        <v>1256970</v>
      </c>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row>
    <row r="263" spans="1:34" s="3" customFormat="1" ht="15">
      <c r="A263" s="31" t="s">
        <v>668</v>
      </c>
      <c r="B263" s="60" t="s">
        <v>146</v>
      </c>
      <c r="C263" s="26" t="s">
        <v>162</v>
      </c>
      <c r="D263" s="26">
        <v>800</v>
      </c>
      <c r="E263" s="27">
        <f>E264</f>
        <v>239500000</v>
      </c>
      <c r="F263" s="27">
        <f>F264</f>
        <v>28367708</v>
      </c>
      <c r="G263" s="25">
        <f t="shared" si="7"/>
        <v>267867708</v>
      </c>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row>
    <row r="264" spans="1:34" s="3" customFormat="1" ht="46.5">
      <c r="A264" s="31" t="s">
        <v>142</v>
      </c>
      <c r="B264" s="60" t="s">
        <v>146</v>
      </c>
      <c r="C264" s="26" t="s">
        <v>162</v>
      </c>
      <c r="D264" s="26">
        <v>810</v>
      </c>
      <c r="E264" s="27">
        <v>239500000</v>
      </c>
      <c r="F264" s="27">
        <f>178000+16020000+6300000+3848000+825000+1196708</f>
        <v>28367708</v>
      </c>
      <c r="G264" s="25">
        <f t="shared" si="7"/>
        <v>267867708</v>
      </c>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row>
    <row r="265" spans="1:34" s="3" customFormat="1" ht="30.75">
      <c r="A265" s="30" t="s">
        <v>163</v>
      </c>
      <c r="B265" s="60" t="s">
        <v>146</v>
      </c>
      <c r="C265" s="26" t="s">
        <v>164</v>
      </c>
      <c r="D265" s="26"/>
      <c r="E265" s="27">
        <f>SUM(E266)</f>
        <v>20000000</v>
      </c>
      <c r="F265" s="27">
        <f>SUM(F266)</f>
        <v>6695576.8</v>
      </c>
      <c r="G265" s="25">
        <f t="shared" si="7"/>
        <v>26695576.8</v>
      </c>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row>
    <row r="266" spans="1:34" s="3" customFormat="1" ht="15">
      <c r="A266" s="31" t="s">
        <v>668</v>
      </c>
      <c r="B266" s="60" t="s">
        <v>146</v>
      </c>
      <c r="C266" s="26" t="s">
        <v>164</v>
      </c>
      <c r="D266" s="26">
        <v>800</v>
      </c>
      <c r="E266" s="27">
        <f>E267</f>
        <v>20000000</v>
      </c>
      <c r="F266" s="27">
        <f>F267</f>
        <v>6695576.8</v>
      </c>
      <c r="G266" s="25">
        <f t="shared" si="7"/>
        <v>26695576.8</v>
      </c>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row>
    <row r="267" spans="1:34" s="3" customFormat="1" ht="46.5">
      <c r="A267" s="31" t="s">
        <v>142</v>
      </c>
      <c r="B267" s="60" t="s">
        <v>146</v>
      </c>
      <c r="C267" s="26" t="s">
        <v>164</v>
      </c>
      <c r="D267" s="26">
        <v>810</v>
      </c>
      <c r="E267" s="27">
        <v>20000000</v>
      </c>
      <c r="F267" s="27">
        <f>-504495-249350+1080000+1801356+3573423+994642.8</f>
        <v>6695576.8</v>
      </c>
      <c r="G267" s="25">
        <f t="shared" si="7"/>
        <v>26695576.8</v>
      </c>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row>
    <row r="268" spans="1:34" s="3" customFormat="1" ht="53.25" customHeight="1">
      <c r="A268" s="31" t="s">
        <v>165</v>
      </c>
      <c r="B268" s="60" t="s">
        <v>146</v>
      </c>
      <c r="C268" s="26" t="s">
        <v>166</v>
      </c>
      <c r="D268" s="26"/>
      <c r="E268" s="27">
        <f>E269</f>
        <v>9485505</v>
      </c>
      <c r="F268" s="27">
        <f>F269</f>
        <v>753845</v>
      </c>
      <c r="G268" s="25">
        <f t="shared" si="7"/>
        <v>10239350</v>
      </c>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row>
    <row r="269" spans="1:34" s="3" customFormat="1" ht="30.75">
      <c r="A269" s="35" t="s">
        <v>664</v>
      </c>
      <c r="B269" s="60" t="s">
        <v>146</v>
      </c>
      <c r="C269" s="26" t="s">
        <v>166</v>
      </c>
      <c r="D269" s="36">
        <v>200</v>
      </c>
      <c r="E269" s="27">
        <f>E270</f>
        <v>9485505</v>
      </c>
      <c r="F269" s="27">
        <f>F270</f>
        <v>753845</v>
      </c>
      <c r="G269" s="25">
        <f t="shared" si="7"/>
        <v>10239350</v>
      </c>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row>
    <row r="270" spans="1:34" s="3" customFormat="1" ht="30.75">
      <c r="A270" s="35" t="s">
        <v>666</v>
      </c>
      <c r="B270" s="60" t="s">
        <v>146</v>
      </c>
      <c r="C270" s="26" t="s">
        <v>166</v>
      </c>
      <c r="D270" s="36">
        <v>240</v>
      </c>
      <c r="E270" s="27">
        <v>9485505</v>
      </c>
      <c r="F270" s="27">
        <f>504495+249350</f>
        <v>753845</v>
      </c>
      <c r="G270" s="25">
        <f t="shared" si="7"/>
        <v>10239350</v>
      </c>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row>
    <row r="271" spans="1:34" s="3" customFormat="1" ht="30.75">
      <c r="A271" s="31" t="s">
        <v>167</v>
      </c>
      <c r="B271" s="60" t="s">
        <v>146</v>
      </c>
      <c r="C271" s="24" t="s">
        <v>168</v>
      </c>
      <c r="D271" s="26"/>
      <c r="E271" s="27">
        <f>E272</f>
        <v>42861672.68</v>
      </c>
      <c r="F271" s="27">
        <f>F272</f>
        <v>-19720347.82</v>
      </c>
      <c r="G271" s="25">
        <f t="shared" si="7"/>
        <v>23141324.86</v>
      </c>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row>
    <row r="272" spans="1:34" s="3" customFormat="1" ht="30.75">
      <c r="A272" s="31" t="s">
        <v>169</v>
      </c>
      <c r="B272" s="60" t="s">
        <v>146</v>
      </c>
      <c r="C272" s="24" t="s">
        <v>168</v>
      </c>
      <c r="D272" s="26">
        <v>400</v>
      </c>
      <c r="E272" s="27">
        <f>E273</f>
        <v>42861672.68</v>
      </c>
      <c r="F272" s="27">
        <f>F273</f>
        <v>-19720347.82</v>
      </c>
      <c r="G272" s="25">
        <f t="shared" si="7"/>
        <v>23141324.86</v>
      </c>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row>
    <row r="273" spans="1:34" s="3" customFormat="1" ht="15">
      <c r="A273" s="69" t="s">
        <v>170</v>
      </c>
      <c r="B273" s="70" t="s">
        <v>146</v>
      </c>
      <c r="C273" s="71" t="s">
        <v>168</v>
      </c>
      <c r="D273" s="72">
        <v>410</v>
      </c>
      <c r="E273" s="73">
        <v>42861672.68</v>
      </c>
      <c r="F273" s="73">
        <f>-106520.18-12000000-7520260-93567.64</f>
        <v>-19720347.82</v>
      </c>
      <c r="G273" s="25">
        <f t="shared" si="7"/>
        <v>23141324.86</v>
      </c>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row>
    <row r="274" spans="1:34" s="3" customFormat="1" ht="80.25" customHeight="1">
      <c r="A274" s="69" t="s">
        <v>631</v>
      </c>
      <c r="B274" s="75" t="s">
        <v>146</v>
      </c>
      <c r="C274" s="71" t="s">
        <v>630</v>
      </c>
      <c r="D274" s="72"/>
      <c r="E274" s="73">
        <f>E275</f>
        <v>0</v>
      </c>
      <c r="F274" s="73">
        <f>F275</f>
        <v>12000000</v>
      </c>
      <c r="G274" s="25">
        <f t="shared" si="7"/>
        <v>12000000</v>
      </c>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row>
    <row r="275" spans="1:34" s="3" customFormat="1" ht="30.75">
      <c r="A275" s="31" t="s">
        <v>169</v>
      </c>
      <c r="B275" s="75" t="s">
        <v>146</v>
      </c>
      <c r="C275" s="71" t="s">
        <v>630</v>
      </c>
      <c r="D275" s="26">
        <v>400</v>
      </c>
      <c r="E275" s="73">
        <f>E276</f>
        <v>0</v>
      </c>
      <c r="F275" s="73">
        <f>F276</f>
        <v>12000000</v>
      </c>
      <c r="G275" s="25">
        <f t="shared" si="7"/>
        <v>12000000</v>
      </c>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row>
    <row r="276" spans="1:34" s="3" customFormat="1" ht="15">
      <c r="A276" s="69" t="s">
        <v>170</v>
      </c>
      <c r="B276" s="75" t="s">
        <v>146</v>
      </c>
      <c r="C276" s="71" t="s">
        <v>630</v>
      </c>
      <c r="D276" s="72">
        <v>410</v>
      </c>
      <c r="E276" s="73">
        <v>0</v>
      </c>
      <c r="F276" s="73">
        <v>12000000</v>
      </c>
      <c r="G276" s="25">
        <f t="shared" si="7"/>
        <v>12000000</v>
      </c>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row>
    <row r="277" spans="1:34" s="38" customFormat="1" ht="30.75">
      <c r="A277" s="74" t="s">
        <v>171</v>
      </c>
      <c r="B277" s="75" t="s">
        <v>146</v>
      </c>
      <c r="C277" s="76" t="s">
        <v>172</v>
      </c>
      <c r="D277" s="77"/>
      <c r="E277" s="78">
        <f>E278</f>
        <v>68649885.72</v>
      </c>
      <c r="F277" s="78">
        <f>F278</f>
        <v>0</v>
      </c>
      <c r="G277" s="25">
        <f t="shared" si="7"/>
        <v>68649885.72</v>
      </c>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row>
    <row r="278" spans="1:34" s="38" customFormat="1" ht="30.75">
      <c r="A278" s="48" t="s">
        <v>169</v>
      </c>
      <c r="B278" s="75" t="s">
        <v>146</v>
      </c>
      <c r="C278" s="76" t="s">
        <v>172</v>
      </c>
      <c r="D278" s="77">
        <v>400</v>
      </c>
      <c r="E278" s="78">
        <f>E279</f>
        <v>68649885.72</v>
      </c>
      <c r="F278" s="78">
        <f>F279</f>
        <v>0</v>
      </c>
      <c r="G278" s="25">
        <f aca="true" t="shared" si="9" ref="G278:G343">SUM(E278:F278)</f>
        <v>68649885.72</v>
      </c>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row>
    <row r="279" spans="1:34" s="38" customFormat="1" ht="15">
      <c r="A279" s="74" t="s">
        <v>170</v>
      </c>
      <c r="B279" s="75" t="s">
        <v>146</v>
      </c>
      <c r="C279" s="76" t="s">
        <v>172</v>
      </c>
      <c r="D279" s="77">
        <v>410</v>
      </c>
      <c r="E279" s="78">
        <f>65217391.43+3432494.29</f>
        <v>68649885.72</v>
      </c>
      <c r="F279" s="78">
        <v>0</v>
      </c>
      <c r="G279" s="25">
        <f t="shared" si="9"/>
        <v>68649885.72</v>
      </c>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row>
    <row r="280" spans="1:34" s="38" customFormat="1" ht="62.25">
      <c r="A280" s="48" t="s">
        <v>173</v>
      </c>
      <c r="B280" s="79" t="s">
        <v>146</v>
      </c>
      <c r="C280" s="33" t="s">
        <v>174</v>
      </c>
      <c r="D280" s="36"/>
      <c r="E280" s="37">
        <f>E281</f>
        <v>24312070</v>
      </c>
      <c r="F280" s="37">
        <f>F281</f>
        <v>0</v>
      </c>
      <c r="G280" s="25">
        <f t="shared" si="9"/>
        <v>24312070</v>
      </c>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row>
    <row r="281" spans="1:34" s="38" customFormat="1" ht="30.75">
      <c r="A281" s="48" t="s">
        <v>169</v>
      </c>
      <c r="B281" s="79" t="s">
        <v>146</v>
      </c>
      <c r="C281" s="33" t="s">
        <v>174</v>
      </c>
      <c r="D281" s="36">
        <v>400</v>
      </c>
      <c r="E281" s="37">
        <f>E282</f>
        <v>24312070</v>
      </c>
      <c r="F281" s="37">
        <f>F282</f>
        <v>0</v>
      </c>
      <c r="G281" s="25">
        <f t="shared" si="9"/>
        <v>24312070</v>
      </c>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row>
    <row r="282" spans="1:34" s="38" customFormat="1" ht="15">
      <c r="A282" s="48" t="s">
        <v>170</v>
      </c>
      <c r="B282" s="79" t="s">
        <v>146</v>
      </c>
      <c r="C282" s="33" t="s">
        <v>174</v>
      </c>
      <c r="D282" s="36">
        <v>410</v>
      </c>
      <c r="E282" s="37">
        <v>24312070</v>
      </c>
      <c r="F282" s="37">
        <v>0</v>
      </c>
      <c r="G282" s="25">
        <f t="shared" si="9"/>
        <v>24312070</v>
      </c>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row>
    <row r="283" spans="1:34" s="38" customFormat="1" ht="105" customHeight="1">
      <c r="A283" s="80" t="s">
        <v>175</v>
      </c>
      <c r="B283" s="79" t="s">
        <v>146</v>
      </c>
      <c r="C283" s="33" t="s">
        <v>176</v>
      </c>
      <c r="D283" s="36"/>
      <c r="E283" s="37">
        <f>E284</f>
        <v>120308377.6</v>
      </c>
      <c r="F283" s="37">
        <f>F284</f>
        <v>0</v>
      </c>
      <c r="G283" s="25">
        <f t="shared" si="9"/>
        <v>120308377.6</v>
      </c>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row>
    <row r="284" spans="1:34" s="38" customFormat="1" ht="30.75">
      <c r="A284" s="48" t="s">
        <v>169</v>
      </c>
      <c r="B284" s="79" t="s">
        <v>146</v>
      </c>
      <c r="C284" s="33" t="s">
        <v>176</v>
      </c>
      <c r="D284" s="36">
        <v>400</v>
      </c>
      <c r="E284" s="37">
        <f>E285</f>
        <v>120308377.6</v>
      </c>
      <c r="F284" s="37">
        <f>F285</f>
        <v>0</v>
      </c>
      <c r="G284" s="25">
        <f t="shared" si="9"/>
        <v>120308377.6</v>
      </c>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row>
    <row r="285" spans="1:34" s="38" customFormat="1" ht="15">
      <c r="A285" s="48" t="s">
        <v>170</v>
      </c>
      <c r="B285" s="79" t="s">
        <v>146</v>
      </c>
      <c r="C285" s="33" t="s">
        <v>176</v>
      </c>
      <c r="D285" s="36">
        <v>410</v>
      </c>
      <c r="E285" s="37">
        <v>120308377.6</v>
      </c>
      <c r="F285" s="37">
        <v>0</v>
      </c>
      <c r="G285" s="25">
        <f t="shared" si="9"/>
        <v>120308377.6</v>
      </c>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row>
    <row r="286" spans="1:34" s="38" customFormat="1" ht="68.25" customHeight="1">
      <c r="A286" s="48" t="s">
        <v>637</v>
      </c>
      <c r="B286" s="79" t="s">
        <v>146</v>
      </c>
      <c r="C286" s="33" t="s">
        <v>177</v>
      </c>
      <c r="D286" s="36"/>
      <c r="E286" s="37">
        <f>E287</f>
        <v>60000000</v>
      </c>
      <c r="F286" s="37">
        <f>F287</f>
        <v>0</v>
      </c>
      <c r="G286" s="25">
        <f t="shared" si="9"/>
        <v>60000000</v>
      </c>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row>
    <row r="287" spans="1:34" s="38" customFormat="1" ht="30.75">
      <c r="A287" s="35" t="s">
        <v>664</v>
      </c>
      <c r="B287" s="79" t="s">
        <v>146</v>
      </c>
      <c r="C287" s="33" t="s">
        <v>177</v>
      </c>
      <c r="D287" s="36">
        <v>200</v>
      </c>
      <c r="E287" s="37">
        <f>E288</f>
        <v>60000000</v>
      </c>
      <c r="F287" s="37">
        <f>F288</f>
        <v>0</v>
      </c>
      <c r="G287" s="25">
        <f t="shared" si="9"/>
        <v>60000000</v>
      </c>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row>
    <row r="288" spans="1:34" s="38" customFormat="1" ht="30.75">
      <c r="A288" s="35" t="s">
        <v>666</v>
      </c>
      <c r="B288" s="79" t="s">
        <v>146</v>
      </c>
      <c r="C288" s="33" t="s">
        <v>177</v>
      </c>
      <c r="D288" s="36">
        <v>240</v>
      </c>
      <c r="E288" s="37">
        <v>60000000</v>
      </c>
      <c r="F288" s="37">
        <v>0</v>
      </c>
      <c r="G288" s="25">
        <f t="shared" si="9"/>
        <v>60000000</v>
      </c>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row>
    <row r="289" spans="1:34" s="38" customFormat="1" ht="67.5" customHeight="1">
      <c r="A289" s="35" t="s">
        <v>638</v>
      </c>
      <c r="B289" s="79" t="s">
        <v>146</v>
      </c>
      <c r="C289" s="33" t="s">
        <v>178</v>
      </c>
      <c r="D289" s="36"/>
      <c r="E289" s="37">
        <f>E290</f>
        <v>47308676.04</v>
      </c>
      <c r="F289" s="37">
        <f>F290</f>
        <v>0</v>
      </c>
      <c r="G289" s="25">
        <f t="shared" si="9"/>
        <v>47308676.04</v>
      </c>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row>
    <row r="290" spans="1:34" s="38" customFormat="1" ht="30.75">
      <c r="A290" s="35" t="s">
        <v>664</v>
      </c>
      <c r="B290" s="79" t="s">
        <v>146</v>
      </c>
      <c r="C290" s="33" t="s">
        <v>178</v>
      </c>
      <c r="D290" s="36">
        <v>200</v>
      </c>
      <c r="E290" s="37">
        <f>E291</f>
        <v>47308676.04</v>
      </c>
      <c r="F290" s="37">
        <f>F291</f>
        <v>0</v>
      </c>
      <c r="G290" s="25">
        <f t="shared" si="9"/>
        <v>47308676.04</v>
      </c>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row>
    <row r="291" spans="1:34" s="38" customFormat="1" ht="30.75">
      <c r="A291" s="35" t="s">
        <v>666</v>
      </c>
      <c r="B291" s="79" t="s">
        <v>146</v>
      </c>
      <c r="C291" s="33" t="s">
        <v>178</v>
      </c>
      <c r="D291" s="36">
        <v>240</v>
      </c>
      <c r="E291" s="37">
        <v>47308676.04</v>
      </c>
      <c r="F291" s="27">
        <v>0</v>
      </c>
      <c r="G291" s="25">
        <f t="shared" si="9"/>
        <v>47308676.04</v>
      </c>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row>
    <row r="292" spans="1:34" s="16" customFormat="1" ht="15.75">
      <c r="A292" s="20" t="s">
        <v>179</v>
      </c>
      <c r="B292" s="21" t="s">
        <v>180</v>
      </c>
      <c r="C292" s="46"/>
      <c r="D292" s="46"/>
      <c r="E292" s="47">
        <f aca="true" t="shared" si="10" ref="E292:F296">E293</f>
        <v>3333333.33</v>
      </c>
      <c r="F292" s="47">
        <f t="shared" si="10"/>
        <v>-3333333.33</v>
      </c>
      <c r="G292" s="22">
        <f t="shared" si="9"/>
        <v>0</v>
      </c>
      <c r="H292" s="3"/>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row>
    <row r="293" spans="1:34" s="16" customFormat="1" ht="15.75">
      <c r="A293" s="30" t="s">
        <v>674</v>
      </c>
      <c r="B293" s="24" t="s">
        <v>180</v>
      </c>
      <c r="C293" s="26" t="s">
        <v>675</v>
      </c>
      <c r="D293" s="21"/>
      <c r="E293" s="27">
        <f t="shared" si="10"/>
        <v>3333333.33</v>
      </c>
      <c r="F293" s="27">
        <f t="shared" si="10"/>
        <v>-3333333.33</v>
      </c>
      <c r="G293" s="25">
        <f t="shared" si="9"/>
        <v>0</v>
      </c>
      <c r="H293" s="3"/>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row>
    <row r="294" spans="1:34" s="16" customFormat="1" ht="46.5">
      <c r="A294" s="31" t="s">
        <v>6</v>
      </c>
      <c r="B294" s="24" t="s">
        <v>180</v>
      </c>
      <c r="C294" s="26" t="s">
        <v>7</v>
      </c>
      <c r="D294" s="26"/>
      <c r="E294" s="27">
        <f t="shared" si="10"/>
        <v>3333333.33</v>
      </c>
      <c r="F294" s="27">
        <f t="shared" si="10"/>
        <v>-3333333.33</v>
      </c>
      <c r="G294" s="25">
        <f t="shared" si="9"/>
        <v>0</v>
      </c>
      <c r="H294" s="3"/>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row>
    <row r="295" spans="1:34" s="44" customFormat="1" ht="46.5">
      <c r="A295" s="35" t="s">
        <v>181</v>
      </c>
      <c r="B295" s="33" t="s">
        <v>180</v>
      </c>
      <c r="C295" s="36" t="s">
        <v>182</v>
      </c>
      <c r="D295" s="36"/>
      <c r="E295" s="40">
        <f t="shared" si="10"/>
        <v>3333333.33</v>
      </c>
      <c r="F295" s="40">
        <f t="shared" si="10"/>
        <v>-3333333.33</v>
      </c>
      <c r="G295" s="25">
        <f t="shared" si="9"/>
        <v>0</v>
      </c>
      <c r="H295" s="38"/>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row>
    <row r="296" spans="1:34" s="44" customFormat="1" ht="30.75">
      <c r="A296" s="35" t="s">
        <v>664</v>
      </c>
      <c r="B296" s="33" t="s">
        <v>180</v>
      </c>
      <c r="C296" s="36" t="s">
        <v>182</v>
      </c>
      <c r="D296" s="36">
        <v>200</v>
      </c>
      <c r="E296" s="40">
        <f t="shared" si="10"/>
        <v>3333333.33</v>
      </c>
      <c r="F296" s="40">
        <f t="shared" si="10"/>
        <v>-3333333.33</v>
      </c>
      <c r="G296" s="25">
        <f t="shared" si="9"/>
        <v>0</v>
      </c>
      <c r="H296" s="38"/>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row>
    <row r="297" spans="1:34" s="44" customFormat="1" ht="30.75">
      <c r="A297" s="35" t="s">
        <v>666</v>
      </c>
      <c r="B297" s="33" t="s">
        <v>180</v>
      </c>
      <c r="C297" s="36" t="s">
        <v>182</v>
      </c>
      <c r="D297" s="36">
        <v>240</v>
      </c>
      <c r="E297" s="40">
        <f>3000000+333333.33</f>
        <v>3333333.33</v>
      </c>
      <c r="F297" s="49">
        <f>-3000000-333333.33</f>
        <v>-3333333.33</v>
      </c>
      <c r="G297" s="25">
        <f t="shared" si="9"/>
        <v>0</v>
      </c>
      <c r="H297" s="38"/>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row>
    <row r="298" spans="1:34" s="3" customFormat="1" ht="15.75">
      <c r="A298" s="20" t="s">
        <v>183</v>
      </c>
      <c r="B298" s="21" t="s">
        <v>184</v>
      </c>
      <c r="C298" s="59"/>
      <c r="D298" s="59"/>
      <c r="E298" s="47">
        <f>SUM(E325,E299,E339)</f>
        <v>25780045.009999998</v>
      </c>
      <c r="F298" s="47">
        <f>SUM(F325,F299,F339)</f>
        <v>-892996.7000000002</v>
      </c>
      <c r="G298" s="22">
        <f t="shared" si="9"/>
        <v>24887048.31</v>
      </c>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row>
    <row r="299" spans="1:34" s="3" customFormat="1" ht="46.5">
      <c r="A299" s="31" t="s">
        <v>185</v>
      </c>
      <c r="B299" s="24" t="s">
        <v>184</v>
      </c>
      <c r="C299" s="26" t="s">
        <v>186</v>
      </c>
      <c r="D299" s="26"/>
      <c r="E299" s="27">
        <f>SUM(E300,E313)</f>
        <v>21823722.34</v>
      </c>
      <c r="F299" s="27">
        <f>SUM(F300,F313)</f>
        <v>1734904.75</v>
      </c>
      <c r="G299" s="25">
        <f t="shared" si="9"/>
        <v>23558627.09</v>
      </c>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row>
    <row r="300" spans="1:34" s="3" customFormat="1" ht="30.75">
      <c r="A300" s="31" t="s">
        <v>187</v>
      </c>
      <c r="B300" s="24" t="s">
        <v>184</v>
      </c>
      <c r="C300" s="26" t="s">
        <v>188</v>
      </c>
      <c r="D300" s="26"/>
      <c r="E300" s="27">
        <f>SUM(E301,E304,E307,E310)</f>
        <v>2723722.34</v>
      </c>
      <c r="F300" s="27">
        <f>SUM(F301,F304,F307,F310)</f>
        <v>434904.75</v>
      </c>
      <c r="G300" s="25">
        <f t="shared" si="9"/>
        <v>3158627.09</v>
      </c>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row>
    <row r="301" spans="1:34" s="3" customFormat="1" ht="68.25" customHeight="1">
      <c r="A301" s="31" t="s">
        <v>189</v>
      </c>
      <c r="B301" s="24" t="s">
        <v>184</v>
      </c>
      <c r="C301" s="26" t="s">
        <v>190</v>
      </c>
      <c r="D301" s="26"/>
      <c r="E301" s="27">
        <f>E302</f>
        <v>100000</v>
      </c>
      <c r="F301" s="27">
        <f>F302</f>
        <v>-100000</v>
      </c>
      <c r="G301" s="25">
        <f t="shared" si="9"/>
        <v>0</v>
      </c>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row>
    <row r="302" spans="1:34" s="3" customFormat="1" ht="15">
      <c r="A302" s="31" t="s">
        <v>668</v>
      </c>
      <c r="B302" s="24" t="s">
        <v>184</v>
      </c>
      <c r="C302" s="26" t="s">
        <v>190</v>
      </c>
      <c r="D302" s="26">
        <v>800</v>
      </c>
      <c r="E302" s="27">
        <f>E303</f>
        <v>100000</v>
      </c>
      <c r="F302" s="27">
        <f>F303</f>
        <v>-100000</v>
      </c>
      <c r="G302" s="25">
        <f t="shared" si="9"/>
        <v>0</v>
      </c>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row>
    <row r="303" spans="1:34" s="3" customFormat="1" ht="46.5">
      <c r="A303" s="31" t="s">
        <v>142</v>
      </c>
      <c r="B303" s="24" t="s">
        <v>184</v>
      </c>
      <c r="C303" s="26" t="s">
        <v>190</v>
      </c>
      <c r="D303" s="26">
        <v>810</v>
      </c>
      <c r="E303" s="27">
        <v>100000</v>
      </c>
      <c r="F303" s="27">
        <v>-100000</v>
      </c>
      <c r="G303" s="25">
        <f t="shared" si="9"/>
        <v>0</v>
      </c>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row>
    <row r="304" spans="1:34" s="38" customFormat="1" ht="30.75">
      <c r="A304" s="48" t="s">
        <v>191</v>
      </c>
      <c r="B304" s="33" t="s">
        <v>184</v>
      </c>
      <c r="C304" s="36" t="s">
        <v>192</v>
      </c>
      <c r="D304" s="36"/>
      <c r="E304" s="37">
        <f>E305</f>
        <v>1300000</v>
      </c>
      <c r="F304" s="37">
        <f>F305</f>
        <v>0</v>
      </c>
      <c r="G304" s="25">
        <f t="shared" si="9"/>
        <v>1300000</v>
      </c>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row>
    <row r="305" spans="1:34" s="38" customFormat="1" ht="15">
      <c r="A305" s="48" t="s">
        <v>668</v>
      </c>
      <c r="B305" s="33" t="s">
        <v>184</v>
      </c>
      <c r="C305" s="36" t="s">
        <v>192</v>
      </c>
      <c r="D305" s="36">
        <v>800</v>
      </c>
      <c r="E305" s="37">
        <f>E306</f>
        <v>1300000</v>
      </c>
      <c r="F305" s="37">
        <f>F306</f>
        <v>0</v>
      </c>
      <c r="G305" s="25">
        <f t="shared" si="9"/>
        <v>1300000</v>
      </c>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row>
    <row r="306" spans="1:34" s="38" customFormat="1" ht="46.5">
      <c r="A306" s="48" t="s">
        <v>142</v>
      </c>
      <c r="B306" s="33" t="s">
        <v>184</v>
      </c>
      <c r="C306" s="36" t="s">
        <v>192</v>
      </c>
      <c r="D306" s="36">
        <v>810</v>
      </c>
      <c r="E306" s="37">
        <f>500000+800000</f>
        <v>1300000</v>
      </c>
      <c r="F306" s="37">
        <v>0</v>
      </c>
      <c r="G306" s="25">
        <f t="shared" si="9"/>
        <v>1300000</v>
      </c>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row>
    <row r="307" spans="1:34" s="38" customFormat="1" ht="62.25">
      <c r="A307" s="48" t="s">
        <v>193</v>
      </c>
      <c r="B307" s="33" t="s">
        <v>184</v>
      </c>
      <c r="C307" s="36" t="s">
        <v>194</v>
      </c>
      <c r="D307" s="36"/>
      <c r="E307" s="37">
        <f>E308</f>
        <v>1223722.3399999999</v>
      </c>
      <c r="F307" s="37">
        <f>F308</f>
        <v>534904.75</v>
      </c>
      <c r="G307" s="25">
        <f t="shared" si="9"/>
        <v>1758627.0899999999</v>
      </c>
      <c r="I307"/>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row>
    <row r="308" spans="1:34" s="38" customFormat="1" ht="15">
      <c r="A308" s="48" t="s">
        <v>668</v>
      </c>
      <c r="B308" s="33" t="s">
        <v>184</v>
      </c>
      <c r="C308" s="36" t="s">
        <v>194</v>
      </c>
      <c r="D308" s="36">
        <v>800</v>
      </c>
      <c r="E308" s="37">
        <f>E309</f>
        <v>1223722.3399999999</v>
      </c>
      <c r="F308" s="37">
        <f>F309</f>
        <v>534904.75</v>
      </c>
      <c r="G308" s="25">
        <f t="shared" si="9"/>
        <v>1758627.0899999999</v>
      </c>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row>
    <row r="309" spans="1:34" s="38" customFormat="1" ht="46.5">
      <c r="A309" s="48" t="s">
        <v>142</v>
      </c>
      <c r="B309" s="33" t="s">
        <v>184</v>
      </c>
      <c r="C309" s="36" t="s">
        <v>194</v>
      </c>
      <c r="D309" s="36">
        <v>810</v>
      </c>
      <c r="E309" s="37">
        <f>623722.34+600000</f>
        <v>1223722.3399999999</v>
      </c>
      <c r="F309" s="37">
        <v>534904.75</v>
      </c>
      <c r="G309" s="25">
        <f t="shared" si="9"/>
        <v>1758627.0899999999</v>
      </c>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row>
    <row r="310" spans="1:34" s="16" customFormat="1" ht="46.5">
      <c r="A310" s="31" t="s">
        <v>195</v>
      </c>
      <c r="B310" s="24" t="s">
        <v>184</v>
      </c>
      <c r="C310" s="26" t="s">
        <v>196</v>
      </c>
      <c r="D310" s="26"/>
      <c r="E310" s="27">
        <f>E311</f>
        <v>100000</v>
      </c>
      <c r="F310" s="27">
        <f>F311</f>
        <v>0</v>
      </c>
      <c r="G310" s="25">
        <f t="shared" si="9"/>
        <v>100000</v>
      </c>
      <c r="H310" s="3"/>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row>
    <row r="311" spans="1:34" s="3" customFormat="1" ht="30.75">
      <c r="A311" s="28" t="s">
        <v>664</v>
      </c>
      <c r="B311" s="24" t="s">
        <v>184</v>
      </c>
      <c r="C311" s="26" t="s">
        <v>196</v>
      </c>
      <c r="D311" s="26">
        <v>200</v>
      </c>
      <c r="E311" s="27">
        <f>E312</f>
        <v>100000</v>
      </c>
      <c r="F311" s="27">
        <f>F312</f>
        <v>0</v>
      </c>
      <c r="G311" s="25">
        <f t="shared" si="9"/>
        <v>100000</v>
      </c>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row>
    <row r="312" spans="1:34" s="3" customFormat="1" ht="30.75">
      <c r="A312" s="28" t="s">
        <v>666</v>
      </c>
      <c r="B312" s="24" t="s">
        <v>184</v>
      </c>
      <c r="C312" s="26" t="s">
        <v>196</v>
      </c>
      <c r="D312" s="26">
        <v>240</v>
      </c>
      <c r="E312" s="27">
        <v>100000</v>
      </c>
      <c r="F312" s="27">
        <v>0</v>
      </c>
      <c r="G312" s="25">
        <f t="shared" si="9"/>
        <v>100000</v>
      </c>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row>
    <row r="313" spans="1:34" s="3" customFormat="1" ht="30.75">
      <c r="A313" s="31" t="s">
        <v>197</v>
      </c>
      <c r="B313" s="24" t="s">
        <v>184</v>
      </c>
      <c r="C313" s="26" t="s">
        <v>198</v>
      </c>
      <c r="D313" s="26"/>
      <c r="E313" s="27">
        <f>SUM(E314,E319,E322)</f>
        <v>19100000</v>
      </c>
      <c r="F313" s="27">
        <f>SUM(F314,F319,F322)</f>
        <v>1300000</v>
      </c>
      <c r="G313" s="25">
        <f t="shared" si="9"/>
        <v>20400000</v>
      </c>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row>
    <row r="314" spans="1:34" s="3" customFormat="1" ht="46.5">
      <c r="A314" s="31" t="s">
        <v>199</v>
      </c>
      <c r="B314" s="24" t="s">
        <v>184</v>
      </c>
      <c r="C314" s="26" t="s">
        <v>200</v>
      </c>
      <c r="D314" s="26"/>
      <c r="E314" s="27">
        <f>SUM(E315,E317)</f>
        <v>1500000</v>
      </c>
      <c r="F314" s="27">
        <f>SUM(F315,F317)</f>
        <v>0</v>
      </c>
      <c r="G314" s="25">
        <f t="shared" si="9"/>
        <v>1500000</v>
      </c>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row>
    <row r="315" spans="1:34" s="3" customFormat="1" ht="30.75">
      <c r="A315" s="28" t="s">
        <v>53</v>
      </c>
      <c r="B315" s="24" t="s">
        <v>184</v>
      </c>
      <c r="C315" s="26" t="s">
        <v>200</v>
      </c>
      <c r="D315" s="26">
        <v>600</v>
      </c>
      <c r="E315" s="27">
        <f>E316</f>
        <v>0</v>
      </c>
      <c r="F315" s="27">
        <f>F316</f>
        <v>1500000</v>
      </c>
      <c r="G315" s="25">
        <f t="shared" si="9"/>
        <v>1500000</v>
      </c>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row>
    <row r="316" spans="1:34" s="3" customFormat="1" ht="30.75">
      <c r="A316" s="28" t="s">
        <v>63</v>
      </c>
      <c r="B316" s="24" t="s">
        <v>184</v>
      </c>
      <c r="C316" s="26" t="s">
        <v>200</v>
      </c>
      <c r="D316" s="26">
        <v>630</v>
      </c>
      <c r="E316" s="27"/>
      <c r="F316" s="27">
        <v>1500000</v>
      </c>
      <c r="G316" s="25">
        <f t="shared" si="9"/>
        <v>1500000</v>
      </c>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row>
    <row r="317" spans="1:34" s="3" customFormat="1" ht="15">
      <c r="A317" s="31" t="s">
        <v>668</v>
      </c>
      <c r="B317" s="24" t="s">
        <v>184</v>
      </c>
      <c r="C317" s="26" t="s">
        <v>200</v>
      </c>
      <c r="D317" s="26">
        <v>800</v>
      </c>
      <c r="E317" s="27">
        <f>E318</f>
        <v>1500000</v>
      </c>
      <c r="F317" s="27">
        <f>F318</f>
        <v>-1500000</v>
      </c>
      <c r="G317" s="25">
        <f t="shared" si="9"/>
        <v>0</v>
      </c>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row>
    <row r="318" spans="1:34" s="3" customFormat="1" ht="46.5">
      <c r="A318" s="31" t="s">
        <v>142</v>
      </c>
      <c r="B318" s="24" t="s">
        <v>184</v>
      </c>
      <c r="C318" s="26" t="s">
        <v>200</v>
      </c>
      <c r="D318" s="26">
        <v>810</v>
      </c>
      <c r="E318" s="27">
        <v>1500000</v>
      </c>
      <c r="F318" s="27">
        <v>-1500000</v>
      </c>
      <c r="G318" s="25">
        <f t="shared" si="9"/>
        <v>0</v>
      </c>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row>
    <row r="319" spans="1:34" s="3" customFormat="1" ht="30.75">
      <c r="A319" s="31" t="s">
        <v>201</v>
      </c>
      <c r="B319" s="24" t="s">
        <v>184</v>
      </c>
      <c r="C319" s="26" t="s">
        <v>202</v>
      </c>
      <c r="D319" s="26"/>
      <c r="E319" s="27">
        <f>E320</f>
        <v>10000000</v>
      </c>
      <c r="F319" s="27">
        <f>F320</f>
        <v>100000</v>
      </c>
      <c r="G319" s="25">
        <f t="shared" si="9"/>
        <v>10100000</v>
      </c>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row>
    <row r="320" spans="1:34" s="3" customFormat="1" ht="15">
      <c r="A320" s="31" t="s">
        <v>668</v>
      </c>
      <c r="B320" s="24" t="s">
        <v>184</v>
      </c>
      <c r="C320" s="26" t="s">
        <v>202</v>
      </c>
      <c r="D320" s="26">
        <v>800</v>
      </c>
      <c r="E320" s="27">
        <f>E321</f>
        <v>10000000</v>
      </c>
      <c r="F320" s="27">
        <f>F321</f>
        <v>100000</v>
      </c>
      <c r="G320" s="25">
        <f t="shared" si="9"/>
        <v>10100000</v>
      </c>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row>
    <row r="321" spans="1:34" s="3" customFormat="1" ht="46.5">
      <c r="A321" s="31" t="s">
        <v>142</v>
      </c>
      <c r="B321" s="24" t="s">
        <v>184</v>
      </c>
      <c r="C321" s="26" t="s">
        <v>202</v>
      </c>
      <c r="D321" s="26">
        <v>810</v>
      </c>
      <c r="E321" s="27">
        <v>10000000</v>
      </c>
      <c r="F321" s="27">
        <v>100000</v>
      </c>
      <c r="G321" s="25">
        <f t="shared" si="9"/>
        <v>10100000</v>
      </c>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row>
    <row r="322" spans="1:34" s="3" customFormat="1" ht="124.5">
      <c r="A322" s="81" t="s">
        <v>203</v>
      </c>
      <c r="B322" s="24" t="s">
        <v>184</v>
      </c>
      <c r="C322" s="26" t="s">
        <v>204</v>
      </c>
      <c r="D322" s="26"/>
      <c r="E322" s="49">
        <f>E323</f>
        <v>7600000</v>
      </c>
      <c r="F322" s="49">
        <f>F323</f>
        <v>1200000</v>
      </c>
      <c r="G322" s="25">
        <f t="shared" si="9"/>
        <v>8800000</v>
      </c>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row>
    <row r="323" spans="1:34" s="3" customFormat="1" ht="30.75">
      <c r="A323" s="28" t="s">
        <v>53</v>
      </c>
      <c r="B323" s="24" t="s">
        <v>184</v>
      </c>
      <c r="C323" s="26" t="s">
        <v>204</v>
      </c>
      <c r="D323" s="26">
        <v>600</v>
      </c>
      <c r="E323" s="49">
        <f>E324</f>
        <v>7600000</v>
      </c>
      <c r="F323" s="49">
        <f>F324</f>
        <v>1200000</v>
      </c>
      <c r="G323" s="25">
        <f t="shared" si="9"/>
        <v>8800000</v>
      </c>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row>
    <row r="324" spans="1:34" s="3" customFormat="1" ht="30.75">
      <c r="A324" s="28" t="s">
        <v>63</v>
      </c>
      <c r="B324" s="24" t="s">
        <v>184</v>
      </c>
      <c r="C324" s="26" t="s">
        <v>204</v>
      </c>
      <c r="D324" s="26">
        <v>630</v>
      </c>
      <c r="E324" s="49">
        <v>7600000</v>
      </c>
      <c r="F324" s="49">
        <v>1200000</v>
      </c>
      <c r="G324" s="25">
        <f t="shared" si="9"/>
        <v>8800000</v>
      </c>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row>
    <row r="325" spans="1:34" s="3" customFormat="1" ht="46.5">
      <c r="A325" s="31" t="s">
        <v>66</v>
      </c>
      <c r="B325" s="24" t="s">
        <v>184</v>
      </c>
      <c r="C325" s="26" t="s">
        <v>67</v>
      </c>
      <c r="D325" s="26"/>
      <c r="E325" s="27">
        <f>E326</f>
        <v>3927567.67</v>
      </c>
      <c r="F325" s="27">
        <f>F326</f>
        <v>-2627901.45</v>
      </c>
      <c r="G325" s="25">
        <f t="shared" si="9"/>
        <v>1299666.2199999997</v>
      </c>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row>
    <row r="326" spans="1:34" s="3" customFormat="1" ht="36.75" customHeight="1">
      <c r="A326" s="31" t="s">
        <v>80</v>
      </c>
      <c r="B326" s="24" t="s">
        <v>184</v>
      </c>
      <c r="C326" s="26" t="s">
        <v>81</v>
      </c>
      <c r="D326" s="26"/>
      <c r="E326" s="27">
        <f>SUM(E327,E330,E336,E333)</f>
        <v>3927567.67</v>
      </c>
      <c r="F326" s="27">
        <f>SUM(F327,F330,F336,F333)</f>
        <v>-2627901.45</v>
      </c>
      <c r="G326" s="25">
        <f t="shared" si="9"/>
        <v>1299666.2199999997</v>
      </c>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row>
    <row r="327" spans="1:34" s="38" customFormat="1" ht="93">
      <c r="A327" s="35" t="s">
        <v>205</v>
      </c>
      <c r="B327" s="33" t="s">
        <v>184</v>
      </c>
      <c r="C327" s="36" t="s">
        <v>206</v>
      </c>
      <c r="D327" s="36"/>
      <c r="E327" s="37">
        <f>E328</f>
        <v>57801</v>
      </c>
      <c r="F327" s="37">
        <f>F328</f>
        <v>0</v>
      </c>
      <c r="G327" s="25">
        <f t="shared" si="9"/>
        <v>57801</v>
      </c>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row>
    <row r="328" spans="1:34" s="38" customFormat="1" ht="30.75">
      <c r="A328" s="35" t="s">
        <v>664</v>
      </c>
      <c r="B328" s="33" t="s">
        <v>184</v>
      </c>
      <c r="C328" s="36" t="s">
        <v>206</v>
      </c>
      <c r="D328" s="36">
        <v>200</v>
      </c>
      <c r="E328" s="37">
        <f>E329</f>
        <v>57801</v>
      </c>
      <c r="F328" s="37">
        <f>F329</f>
        <v>0</v>
      </c>
      <c r="G328" s="25">
        <f t="shared" si="9"/>
        <v>57801</v>
      </c>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row>
    <row r="329" spans="1:34" s="38" customFormat="1" ht="30.75">
      <c r="A329" s="35" t="s">
        <v>666</v>
      </c>
      <c r="B329" s="33" t="s">
        <v>184</v>
      </c>
      <c r="C329" s="36" t="s">
        <v>206</v>
      </c>
      <c r="D329" s="36">
        <v>240</v>
      </c>
      <c r="E329" s="37">
        <f>52020.9+5780.1</f>
        <v>57801</v>
      </c>
      <c r="F329" s="37">
        <v>0</v>
      </c>
      <c r="G329" s="25">
        <f t="shared" si="9"/>
        <v>57801</v>
      </c>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row>
    <row r="330" spans="1:34" s="44" customFormat="1" ht="80.25" customHeight="1">
      <c r="A330" s="82" t="s">
        <v>207</v>
      </c>
      <c r="B330" s="33" t="s">
        <v>184</v>
      </c>
      <c r="C330" s="36" t="s">
        <v>208</v>
      </c>
      <c r="D330" s="36"/>
      <c r="E330" s="37">
        <f>E331</f>
        <v>3203100</v>
      </c>
      <c r="F330" s="37">
        <f>F331</f>
        <v>-2919890.5</v>
      </c>
      <c r="G330" s="25">
        <f t="shared" si="9"/>
        <v>283209.5</v>
      </c>
      <c r="H330" s="38"/>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row>
    <row r="331" spans="1:34" s="44" customFormat="1" ht="30.75">
      <c r="A331" s="35" t="s">
        <v>664</v>
      </c>
      <c r="B331" s="33" t="s">
        <v>184</v>
      </c>
      <c r="C331" s="36" t="s">
        <v>208</v>
      </c>
      <c r="D331" s="36">
        <v>200</v>
      </c>
      <c r="E331" s="37">
        <f>E332</f>
        <v>3203100</v>
      </c>
      <c r="F331" s="37">
        <f>F332</f>
        <v>-2919890.5</v>
      </c>
      <c r="G331" s="25">
        <f t="shared" si="9"/>
        <v>283209.5</v>
      </c>
      <c r="H331" s="38"/>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row>
    <row r="332" spans="1:34" s="44" customFormat="1" ht="30.75">
      <c r="A332" s="35" t="s">
        <v>666</v>
      </c>
      <c r="B332" s="33" t="s">
        <v>184</v>
      </c>
      <c r="C332" s="36" t="s">
        <v>208</v>
      </c>
      <c r="D332" s="36">
        <v>240</v>
      </c>
      <c r="E332" s="37">
        <f>2882790+320310</f>
        <v>3203100</v>
      </c>
      <c r="F332" s="37">
        <f>-2627901.45-291989.05</f>
        <v>-2919890.5</v>
      </c>
      <c r="G332" s="25">
        <f t="shared" si="9"/>
        <v>283209.5</v>
      </c>
      <c r="H332" s="38"/>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row>
    <row r="333" spans="1:34" s="44" customFormat="1" ht="108.75">
      <c r="A333" s="35" t="s">
        <v>209</v>
      </c>
      <c r="B333" s="33" t="s">
        <v>184</v>
      </c>
      <c r="C333" s="36" t="s">
        <v>210</v>
      </c>
      <c r="D333" s="36"/>
      <c r="E333" s="37">
        <f>E334</f>
        <v>166666.66999999998</v>
      </c>
      <c r="F333" s="37">
        <f>F334</f>
        <v>0</v>
      </c>
      <c r="G333" s="25">
        <f t="shared" si="9"/>
        <v>166666.66999999998</v>
      </c>
      <c r="H333" s="38"/>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row>
    <row r="334" spans="1:34" s="44" customFormat="1" ht="30.75">
      <c r="A334" s="35" t="s">
        <v>664</v>
      </c>
      <c r="B334" s="33" t="s">
        <v>184</v>
      </c>
      <c r="C334" s="36" t="s">
        <v>210</v>
      </c>
      <c r="D334" s="36">
        <v>200</v>
      </c>
      <c r="E334" s="37">
        <f>E335</f>
        <v>166666.66999999998</v>
      </c>
      <c r="F334" s="37">
        <f>F335</f>
        <v>0</v>
      </c>
      <c r="G334" s="25">
        <f t="shared" si="9"/>
        <v>166666.66999999998</v>
      </c>
      <c r="H334" s="38"/>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row>
    <row r="335" spans="1:34" s="44" customFormat="1" ht="30.75">
      <c r="A335" s="35" t="s">
        <v>666</v>
      </c>
      <c r="B335" s="33" t="s">
        <v>184</v>
      </c>
      <c r="C335" s="36" t="s">
        <v>210</v>
      </c>
      <c r="D335" s="36">
        <v>240</v>
      </c>
      <c r="E335" s="37">
        <f>150000+16666.67</f>
        <v>166666.66999999998</v>
      </c>
      <c r="F335" s="37">
        <v>0</v>
      </c>
      <c r="G335" s="25">
        <f t="shared" si="9"/>
        <v>166666.66999999998</v>
      </c>
      <c r="H335" s="38"/>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row>
    <row r="336" spans="1:34" s="16" customFormat="1" ht="46.5">
      <c r="A336" s="28" t="s">
        <v>211</v>
      </c>
      <c r="B336" s="24" t="s">
        <v>184</v>
      </c>
      <c r="C336" s="26" t="s">
        <v>212</v>
      </c>
      <c r="D336" s="26"/>
      <c r="E336" s="27">
        <f>E337</f>
        <v>500000</v>
      </c>
      <c r="F336" s="27">
        <f>F337</f>
        <v>291989.05</v>
      </c>
      <c r="G336" s="25">
        <f t="shared" si="9"/>
        <v>791989.05</v>
      </c>
      <c r="H336" s="3"/>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row>
    <row r="337" spans="1:34" s="16" customFormat="1" ht="30.75">
      <c r="A337" s="28" t="s">
        <v>664</v>
      </c>
      <c r="B337" s="24" t="s">
        <v>184</v>
      </c>
      <c r="C337" s="26" t="s">
        <v>212</v>
      </c>
      <c r="D337" s="26">
        <v>200</v>
      </c>
      <c r="E337" s="27">
        <f>E338</f>
        <v>500000</v>
      </c>
      <c r="F337" s="27">
        <f>F338</f>
        <v>291989.05</v>
      </c>
      <c r="G337" s="25">
        <f t="shared" si="9"/>
        <v>791989.05</v>
      </c>
      <c r="H337" s="3"/>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row>
    <row r="338" spans="1:34" s="16" customFormat="1" ht="30.75">
      <c r="A338" s="28" t="s">
        <v>666</v>
      </c>
      <c r="B338" s="24" t="s">
        <v>184</v>
      </c>
      <c r="C338" s="26" t="s">
        <v>212</v>
      </c>
      <c r="D338" s="26">
        <v>240</v>
      </c>
      <c r="E338" s="27">
        <f>500000</f>
        <v>500000</v>
      </c>
      <c r="F338" s="27">
        <v>291989.05</v>
      </c>
      <c r="G338" s="25">
        <f t="shared" si="9"/>
        <v>791989.05</v>
      </c>
      <c r="H338" s="3"/>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row>
    <row r="339" spans="1:34" s="16" customFormat="1" ht="15">
      <c r="A339" s="30" t="s">
        <v>674</v>
      </c>
      <c r="B339" s="24" t="s">
        <v>184</v>
      </c>
      <c r="C339" s="26" t="s">
        <v>675</v>
      </c>
      <c r="D339" s="26"/>
      <c r="E339" s="27">
        <f aca="true" t="shared" si="11" ref="E339:F342">E340</f>
        <v>28755</v>
      </c>
      <c r="F339" s="27">
        <f t="shared" si="11"/>
        <v>0</v>
      </c>
      <c r="G339" s="25">
        <f t="shared" si="9"/>
        <v>28755</v>
      </c>
      <c r="H339" s="3"/>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row>
    <row r="340" spans="1:34" s="16" customFormat="1" ht="46.5">
      <c r="A340" s="31" t="s">
        <v>6</v>
      </c>
      <c r="B340" s="24" t="s">
        <v>184</v>
      </c>
      <c r="C340" s="26" t="s">
        <v>7</v>
      </c>
      <c r="D340" s="26"/>
      <c r="E340" s="27">
        <f t="shared" si="11"/>
        <v>28755</v>
      </c>
      <c r="F340" s="27">
        <f t="shared" si="11"/>
        <v>0</v>
      </c>
      <c r="G340" s="25">
        <f t="shared" si="9"/>
        <v>28755</v>
      </c>
      <c r="H340" s="3"/>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row>
    <row r="341" spans="1:34" s="44" customFormat="1" ht="46.5">
      <c r="A341" s="48" t="s">
        <v>213</v>
      </c>
      <c r="B341" s="33" t="s">
        <v>184</v>
      </c>
      <c r="C341" s="36" t="s">
        <v>214</v>
      </c>
      <c r="D341" s="36"/>
      <c r="E341" s="37">
        <f t="shared" si="11"/>
        <v>28755</v>
      </c>
      <c r="F341" s="37">
        <f t="shared" si="11"/>
        <v>0</v>
      </c>
      <c r="G341" s="25">
        <f t="shared" si="9"/>
        <v>28755</v>
      </c>
      <c r="H341" s="38"/>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row>
    <row r="342" spans="1:34" s="44" customFormat="1" ht="30.75">
      <c r="A342" s="35" t="s">
        <v>664</v>
      </c>
      <c r="B342" s="33" t="s">
        <v>184</v>
      </c>
      <c r="C342" s="36" t="s">
        <v>214</v>
      </c>
      <c r="D342" s="36">
        <v>200</v>
      </c>
      <c r="E342" s="37">
        <f t="shared" si="11"/>
        <v>28755</v>
      </c>
      <c r="F342" s="37">
        <f t="shared" si="11"/>
        <v>0</v>
      </c>
      <c r="G342" s="25">
        <f t="shared" si="9"/>
        <v>28755</v>
      </c>
      <c r="H342" s="38"/>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row>
    <row r="343" spans="1:34" s="44" customFormat="1" ht="30.75">
      <c r="A343" s="35" t="s">
        <v>666</v>
      </c>
      <c r="B343" s="33" t="s">
        <v>184</v>
      </c>
      <c r="C343" s="36" t="s">
        <v>214</v>
      </c>
      <c r="D343" s="36">
        <v>240</v>
      </c>
      <c r="E343" s="37">
        <v>28755</v>
      </c>
      <c r="F343" s="37">
        <v>0</v>
      </c>
      <c r="G343" s="25">
        <f t="shared" si="9"/>
        <v>28755</v>
      </c>
      <c r="H343" s="38"/>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row>
    <row r="344" spans="1:34" s="3" customFormat="1" ht="15">
      <c r="A344" s="17" t="s">
        <v>215</v>
      </c>
      <c r="B344" s="18" t="s">
        <v>216</v>
      </c>
      <c r="C344" s="59"/>
      <c r="D344" s="59"/>
      <c r="E344" s="66">
        <f>SUM(E376,E345,E435,E495)</f>
        <v>554743750.54</v>
      </c>
      <c r="F344" s="66">
        <f>SUM(F376,F345,F435,F495)</f>
        <v>-12817861.709999997</v>
      </c>
      <c r="G344" s="19">
        <f aca="true" t="shared" si="12" ref="G344:G408">SUM(E344:F344)</f>
        <v>541925888.8299999</v>
      </c>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row>
    <row r="345" spans="1:34" s="3" customFormat="1" ht="15.75">
      <c r="A345" s="20" t="s">
        <v>217</v>
      </c>
      <c r="B345" s="21" t="s">
        <v>218</v>
      </c>
      <c r="C345" s="59"/>
      <c r="D345" s="59"/>
      <c r="E345" s="47">
        <f>SUM(E351,E364,E346,E371)</f>
        <v>71099999</v>
      </c>
      <c r="F345" s="47">
        <f>SUM(F351,F364,F346,F371)</f>
        <v>0</v>
      </c>
      <c r="G345" s="22">
        <f t="shared" si="12"/>
        <v>71099999</v>
      </c>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row>
    <row r="346" spans="1:34" s="3" customFormat="1" ht="30.75">
      <c r="A346" s="31" t="s">
        <v>147</v>
      </c>
      <c r="B346" s="24" t="s">
        <v>218</v>
      </c>
      <c r="C346" s="26" t="s">
        <v>148</v>
      </c>
      <c r="D346" s="83"/>
      <c r="E346" s="27">
        <f aca="true" t="shared" si="13" ref="E346:F349">E347</f>
        <v>2700000</v>
      </c>
      <c r="F346" s="27">
        <f t="shared" si="13"/>
        <v>0</v>
      </c>
      <c r="G346" s="25">
        <f t="shared" si="12"/>
        <v>2700000</v>
      </c>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row>
    <row r="347" spans="1:34" s="3" customFormat="1" ht="15">
      <c r="A347" s="30" t="s">
        <v>149</v>
      </c>
      <c r="B347" s="24" t="s">
        <v>218</v>
      </c>
      <c r="C347" s="26" t="s">
        <v>150</v>
      </c>
      <c r="D347" s="26"/>
      <c r="E347" s="27">
        <f t="shared" si="13"/>
        <v>2700000</v>
      </c>
      <c r="F347" s="27">
        <f t="shared" si="13"/>
        <v>0</v>
      </c>
      <c r="G347" s="25">
        <f t="shared" si="12"/>
        <v>2700000</v>
      </c>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row>
    <row r="348" spans="1:34" s="3" customFormat="1" ht="78">
      <c r="A348" s="31" t="s">
        <v>219</v>
      </c>
      <c r="B348" s="24" t="s">
        <v>218</v>
      </c>
      <c r="C348" s="26" t="s">
        <v>220</v>
      </c>
      <c r="D348" s="26"/>
      <c r="E348" s="27">
        <f t="shared" si="13"/>
        <v>2700000</v>
      </c>
      <c r="F348" s="27">
        <f t="shared" si="13"/>
        <v>0</v>
      </c>
      <c r="G348" s="25">
        <f t="shared" si="12"/>
        <v>2700000</v>
      </c>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row>
    <row r="349" spans="1:34" s="3" customFormat="1" ht="30.75">
      <c r="A349" s="31" t="s">
        <v>169</v>
      </c>
      <c r="B349" s="24" t="s">
        <v>218</v>
      </c>
      <c r="C349" s="26" t="s">
        <v>220</v>
      </c>
      <c r="D349" s="26">
        <v>400</v>
      </c>
      <c r="E349" s="27">
        <f t="shared" si="13"/>
        <v>2700000</v>
      </c>
      <c r="F349" s="27">
        <f t="shared" si="13"/>
        <v>0</v>
      </c>
      <c r="G349" s="25">
        <f t="shared" si="12"/>
        <v>2700000</v>
      </c>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row>
    <row r="350" spans="1:34" s="3" customFormat="1" ht="15">
      <c r="A350" s="31" t="s">
        <v>170</v>
      </c>
      <c r="B350" s="24" t="s">
        <v>218</v>
      </c>
      <c r="C350" s="26" t="s">
        <v>220</v>
      </c>
      <c r="D350" s="26">
        <v>410</v>
      </c>
      <c r="E350" s="27">
        <v>2700000</v>
      </c>
      <c r="F350" s="27">
        <v>0</v>
      </c>
      <c r="G350" s="25">
        <f t="shared" si="12"/>
        <v>2700000</v>
      </c>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row>
    <row r="351" spans="1:34" s="3" customFormat="1" ht="46.5">
      <c r="A351" s="31" t="s">
        <v>221</v>
      </c>
      <c r="B351" s="24" t="s">
        <v>218</v>
      </c>
      <c r="C351" s="26" t="s">
        <v>37</v>
      </c>
      <c r="D351" s="26"/>
      <c r="E351" s="27">
        <f>SUM(E352,E355,E358,E361)</f>
        <v>66100000</v>
      </c>
      <c r="F351" s="27">
        <f>SUM(F352,F355,F358,F361)</f>
        <v>0</v>
      </c>
      <c r="G351" s="25">
        <f t="shared" si="12"/>
        <v>66100000</v>
      </c>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row>
    <row r="352" spans="1:34" s="3" customFormat="1" ht="15">
      <c r="A352" s="31" t="s">
        <v>222</v>
      </c>
      <c r="B352" s="24" t="s">
        <v>218</v>
      </c>
      <c r="C352" s="26" t="s">
        <v>223</v>
      </c>
      <c r="D352" s="26"/>
      <c r="E352" s="27">
        <f>E353</f>
        <v>300000</v>
      </c>
      <c r="F352" s="27">
        <f>F353</f>
        <v>0</v>
      </c>
      <c r="G352" s="25">
        <f t="shared" si="12"/>
        <v>300000</v>
      </c>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row>
    <row r="353" spans="1:34" s="16" customFormat="1" ht="15">
      <c r="A353" s="28" t="s">
        <v>668</v>
      </c>
      <c r="B353" s="24" t="s">
        <v>218</v>
      </c>
      <c r="C353" s="26" t="s">
        <v>223</v>
      </c>
      <c r="D353" s="26">
        <v>800</v>
      </c>
      <c r="E353" s="27">
        <f>E354</f>
        <v>300000</v>
      </c>
      <c r="F353" s="27">
        <f>F354</f>
        <v>0</v>
      </c>
      <c r="G353" s="25">
        <f t="shared" si="12"/>
        <v>300000</v>
      </c>
      <c r="H353" s="3"/>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row>
    <row r="354" spans="1:34" s="3" customFormat="1" ht="46.5">
      <c r="A354" s="31" t="s">
        <v>142</v>
      </c>
      <c r="B354" s="24" t="s">
        <v>218</v>
      </c>
      <c r="C354" s="26" t="s">
        <v>223</v>
      </c>
      <c r="D354" s="26">
        <v>810</v>
      </c>
      <c r="E354" s="27">
        <v>300000</v>
      </c>
      <c r="F354" s="27">
        <v>0</v>
      </c>
      <c r="G354" s="25">
        <f t="shared" si="12"/>
        <v>300000</v>
      </c>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row>
    <row r="355" spans="1:34" s="16" customFormat="1" ht="30.75">
      <c r="A355" s="31" t="s">
        <v>224</v>
      </c>
      <c r="B355" s="24" t="s">
        <v>218</v>
      </c>
      <c r="C355" s="26" t="s">
        <v>225</v>
      </c>
      <c r="D355" s="26"/>
      <c r="E355" s="27">
        <f>E356</f>
        <v>61600000</v>
      </c>
      <c r="F355" s="27">
        <f>F356</f>
        <v>0</v>
      </c>
      <c r="G355" s="25">
        <f t="shared" si="12"/>
        <v>61600000</v>
      </c>
      <c r="H355" s="3"/>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row>
    <row r="356" spans="1:34" s="3" customFormat="1" ht="15">
      <c r="A356" s="31" t="s">
        <v>668</v>
      </c>
      <c r="B356" s="24" t="s">
        <v>218</v>
      </c>
      <c r="C356" s="26" t="s">
        <v>225</v>
      </c>
      <c r="D356" s="26">
        <v>800</v>
      </c>
      <c r="E356" s="27">
        <f>E357</f>
        <v>61600000</v>
      </c>
      <c r="F356" s="27">
        <f>F357</f>
        <v>0</v>
      </c>
      <c r="G356" s="25">
        <f t="shared" si="12"/>
        <v>61600000</v>
      </c>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row>
    <row r="357" spans="1:34" s="3" customFormat="1" ht="46.5">
      <c r="A357" s="31" t="s">
        <v>142</v>
      </c>
      <c r="B357" s="24" t="s">
        <v>218</v>
      </c>
      <c r="C357" s="26" t="s">
        <v>225</v>
      </c>
      <c r="D357" s="26">
        <v>810</v>
      </c>
      <c r="E357" s="27">
        <v>61600000</v>
      </c>
      <c r="F357" s="27">
        <v>0</v>
      </c>
      <c r="G357" s="25">
        <f t="shared" si="12"/>
        <v>61600000</v>
      </c>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row>
    <row r="358" spans="1:34" s="3" customFormat="1" ht="30.75">
      <c r="A358" s="31" t="s">
        <v>226</v>
      </c>
      <c r="B358" s="24" t="s">
        <v>218</v>
      </c>
      <c r="C358" s="26" t="s">
        <v>227</v>
      </c>
      <c r="D358" s="26"/>
      <c r="E358" s="27">
        <f>E359</f>
        <v>4000000</v>
      </c>
      <c r="F358" s="27">
        <f>F359</f>
        <v>0</v>
      </c>
      <c r="G358" s="25">
        <f t="shared" si="12"/>
        <v>4000000</v>
      </c>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row>
    <row r="359" spans="1:34" s="3" customFormat="1" ht="15">
      <c r="A359" s="31" t="s">
        <v>668</v>
      </c>
      <c r="B359" s="24" t="s">
        <v>218</v>
      </c>
      <c r="C359" s="26" t="s">
        <v>227</v>
      </c>
      <c r="D359" s="26">
        <v>800</v>
      </c>
      <c r="E359" s="27">
        <f>E360</f>
        <v>4000000</v>
      </c>
      <c r="F359" s="27">
        <f>F360</f>
        <v>0</v>
      </c>
      <c r="G359" s="25">
        <f t="shared" si="12"/>
        <v>4000000</v>
      </c>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row>
    <row r="360" spans="1:34" s="3" customFormat="1" ht="46.5">
      <c r="A360" s="31" t="s">
        <v>142</v>
      </c>
      <c r="B360" s="24" t="s">
        <v>218</v>
      </c>
      <c r="C360" s="26" t="s">
        <v>227</v>
      </c>
      <c r="D360" s="26">
        <v>810</v>
      </c>
      <c r="E360" s="27">
        <v>4000000</v>
      </c>
      <c r="F360" s="27">
        <v>0</v>
      </c>
      <c r="G360" s="25">
        <f t="shared" si="12"/>
        <v>4000000</v>
      </c>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row>
    <row r="361" spans="1:34" s="3" customFormat="1" ht="30.75">
      <c r="A361" s="31" t="s">
        <v>228</v>
      </c>
      <c r="B361" s="24" t="s">
        <v>218</v>
      </c>
      <c r="C361" s="26" t="s">
        <v>229</v>
      </c>
      <c r="D361" s="26"/>
      <c r="E361" s="27">
        <f>E362</f>
        <v>200000</v>
      </c>
      <c r="F361" s="27">
        <f>F362</f>
        <v>0</v>
      </c>
      <c r="G361" s="25">
        <f t="shared" si="12"/>
        <v>200000</v>
      </c>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row>
    <row r="362" spans="1:34" s="3" customFormat="1" ht="15">
      <c r="A362" s="31" t="s">
        <v>668</v>
      </c>
      <c r="B362" s="24" t="s">
        <v>218</v>
      </c>
      <c r="C362" s="26" t="s">
        <v>229</v>
      </c>
      <c r="D362" s="26">
        <v>800</v>
      </c>
      <c r="E362" s="27">
        <f>E363</f>
        <v>200000</v>
      </c>
      <c r="F362" s="27">
        <f>F363</f>
        <v>0</v>
      </c>
      <c r="G362" s="25">
        <f t="shared" si="12"/>
        <v>200000</v>
      </c>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row>
    <row r="363" spans="1:34" s="3" customFormat="1" ht="46.5">
      <c r="A363" s="31" t="s">
        <v>142</v>
      </c>
      <c r="B363" s="24" t="s">
        <v>218</v>
      </c>
      <c r="C363" s="26" t="s">
        <v>229</v>
      </c>
      <c r="D363" s="26">
        <v>810</v>
      </c>
      <c r="E363" s="27">
        <v>200000</v>
      </c>
      <c r="F363" s="27">
        <v>0</v>
      </c>
      <c r="G363" s="25">
        <f t="shared" si="12"/>
        <v>200000</v>
      </c>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row>
    <row r="364" spans="1:34" s="3" customFormat="1" ht="46.5">
      <c r="A364" s="31" t="s">
        <v>230</v>
      </c>
      <c r="B364" s="24" t="s">
        <v>218</v>
      </c>
      <c r="C364" s="26" t="s">
        <v>231</v>
      </c>
      <c r="D364" s="26"/>
      <c r="E364" s="27">
        <f>E365+E368</f>
        <v>1300000</v>
      </c>
      <c r="F364" s="27">
        <f>F365+F368</f>
        <v>0</v>
      </c>
      <c r="G364" s="25">
        <f t="shared" si="12"/>
        <v>1300000</v>
      </c>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row>
    <row r="365" spans="1:34" s="3" customFormat="1" ht="46.5">
      <c r="A365" s="31" t="s">
        <v>232</v>
      </c>
      <c r="B365" s="24" t="s">
        <v>218</v>
      </c>
      <c r="C365" s="26" t="s">
        <v>233</v>
      </c>
      <c r="D365" s="26"/>
      <c r="E365" s="27">
        <f>E366</f>
        <v>300000</v>
      </c>
      <c r="F365" s="27">
        <f>F366</f>
        <v>0</v>
      </c>
      <c r="G365" s="25">
        <f t="shared" si="12"/>
        <v>300000</v>
      </c>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row>
    <row r="366" spans="1:34" s="3" customFormat="1" ht="15">
      <c r="A366" s="28" t="s">
        <v>668</v>
      </c>
      <c r="B366" s="24" t="s">
        <v>218</v>
      </c>
      <c r="C366" s="26" t="s">
        <v>233</v>
      </c>
      <c r="D366" s="26">
        <v>800</v>
      </c>
      <c r="E366" s="27">
        <f>E367</f>
        <v>300000</v>
      </c>
      <c r="F366" s="27">
        <f>F367</f>
        <v>0</v>
      </c>
      <c r="G366" s="25">
        <f t="shared" si="12"/>
        <v>300000</v>
      </c>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row>
    <row r="367" spans="1:34" s="3" customFormat="1" ht="46.5">
      <c r="A367" s="31" t="s">
        <v>142</v>
      </c>
      <c r="B367" s="24" t="s">
        <v>218</v>
      </c>
      <c r="C367" s="26" t="s">
        <v>233</v>
      </c>
      <c r="D367" s="26">
        <v>810</v>
      </c>
      <c r="E367" s="49">
        <v>300000</v>
      </c>
      <c r="F367" s="49">
        <v>0</v>
      </c>
      <c r="G367" s="25">
        <f t="shared" si="12"/>
        <v>300000</v>
      </c>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row>
    <row r="368" spans="1:34" s="3" customFormat="1" ht="15">
      <c r="A368" s="31" t="s">
        <v>234</v>
      </c>
      <c r="B368" s="24" t="s">
        <v>218</v>
      </c>
      <c r="C368" s="26" t="s">
        <v>235</v>
      </c>
      <c r="D368" s="26"/>
      <c r="E368" s="49">
        <f>E369</f>
        <v>1000000</v>
      </c>
      <c r="F368" s="49">
        <f>F369</f>
        <v>0</v>
      </c>
      <c r="G368" s="25">
        <f t="shared" si="12"/>
        <v>1000000</v>
      </c>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row>
    <row r="369" spans="1:34" s="3" customFormat="1" ht="15">
      <c r="A369" s="28" t="s">
        <v>668</v>
      </c>
      <c r="B369" s="24" t="s">
        <v>218</v>
      </c>
      <c r="C369" s="26" t="s">
        <v>235</v>
      </c>
      <c r="D369" s="26">
        <v>800</v>
      </c>
      <c r="E369" s="49">
        <f>E370</f>
        <v>1000000</v>
      </c>
      <c r="F369" s="49">
        <f>F370</f>
        <v>0</v>
      </c>
      <c r="G369" s="25">
        <f t="shared" si="12"/>
        <v>1000000</v>
      </c>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row>
    <row r="370" spans="1:34" s="3" customFormat="1" ht="46.5">
      <c r="A370" s="31" t="s">
        <v>142</v>
      </c>
      <c r="B370" s="24" t="s">
        <v>218</v>
      </c>
      <c r="C370" s="26" t="s">
        <v>235</v>
      </c>
      <c r="D370" s="26">
        <v>810</v>
      </c>
      <c r="E370" s="49">
        <v>1000000</v>
      </c>
      <c r="F370" s="49">
        <v>0</v>
      </c>
      <c r="G370" s="25">
        <f t="shared" si="12"/>
        <v>1000000</v>
      </c>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row>
    <row r="371" spans="1:34" s="3" customFormat="1" ht="15">
      <c r="A371" s="31" t="s">
        <v>674</v>
      </c>
      <c r="B371" s="24" t="s">
        <v>218</v>
      </c>
      <c r="C371" s="26" t="s">
        <v>675</v>
      </c>
      <c r="D371" s="26"/>
      <c r="E371" s="49">
        <f aca="true" t="shared" si="14" ref="E371:F374">E372</f>
        <v>999999</v>
      </c>
      <c r="F371" s="49">
        <f t="shared" si="14"/>
        <v>0</v>
      </c>
      <c r="G371" s="25">
        <f t="shared" si="12"/>
        <v>999999</v>
      </c>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row>
    <row r="372" spans="1:34" s="3" customFormat="1" ht="36.75" customHeight="1">
      <c r="A372" s="31" t="s">
        <v>19</v>
      </c>
      <c r="B372" s="24" t="s">
        <v>218</v>
      </c>
      <c r="C372" s="26" t="s">
        <v>20</v>
      </c>
      <c r="D372" s="26"/>
      <c r="E372" s="49">
        <f t="shared" si="14"/>
        <v>999999</v>
      </c>
      <c r="F372" s="49">
        <f t="shared" si="14"/>
        <v>0</v>
      </c>
      <c r="G372" s="25">
        <f t="shared" si="12"/>
        <v>999999</v>
      </c>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row>
    <row r="373" spans="1:34" s="3" customFormat="1" ht="35.25" customHeight="1">
      <c r="A373" s="31" t="s">
        <v>236</v>
      </c>
      <c r="B373" s="24" t="s">
        <v>218</v>
      </c>
      <c r="C373" s="26" t="s">
        <v>237</v>
      </c>
      <c r="D373" s="26"/>
      <c r="E373" s="49">
        <f t="shared" si="14"/>
        <v>999999</v>
      </c>
      <c r="F373" s="49">
        <f t="shared" si="14"/>
        <v>0</v>
      </c>
      <c r="G373" s="25">
        <f t="shared" si="12"/>
        <v>999999</v>
      </c>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row>
    <row r="374" spans="1:34" s="3" customFormat="1" ht="30.75">
      <c r="A374" s="35" t="s">
        <v>664</v>
      </c>
      <c r="B374" s="24" t="s">
        <v>218</v>
      </c>
      <c r="C374" s="26" t="s">
        <v>237</v>
      </c>
      <c r="D374" s="26">
        <v>200</v>
      </c>
      <c r="E374" s="49">
        <f t="shared" si="14"/>
        <v>999999</v>
      </c>
      <c r="F374" s="49">
        <f t="shared" si="14"/>
        <v>0</v>
      </c>
      <c r="G374" s="25">
        <f t="shared" si="12"/>
        <v>999999</v>
      </c>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row>
    <row r="375" spans="1:34" s="3" customFormat="1" ht="30.75">
      <c r="A375" s="35" t="s">
        <v>666</v>
      </c>
      <c r="B375" s="24" t="s">
        <v>218</v>
      </c>
      <c r="C375" s="26" t="s">
        <v>237</v>
      </c>
      <c r="D375" s="26">
        <v>240</v>
      </c>
      <c r="E375" s="49">
        <v>999999</v>
      </c>
      <c r="F375" s="49">
        <v>0</v>
      </c>
      <c r="G375" s="25">
        <f t="shared" si="12"/>
        <v>999999</v>
      </c>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row>
    <row r="376" spans="1:34" s="3" customFormat="1" ht="15.75">
      <c r="A376" s="20" t="s">
        <v>238</v>
      </c>
      <c r="B376" s="21" t="s">
        <v>239</v>
      </c>
      <c r="C376" s="59"/>
      <c r="D376" s="59"/>
      <c r="E376" s="47">
        <f>SUM(E387,E377,E423)</f>
        <v>196916423.23000002</v>
      </c>
      <c r="F376" s="47">
        <f>SUM(F387,F377,F423)</f>
        <v>-25668192.189999998</v>
      </c>
      <c r="G376" s="22">
        <f t="shared" si="12"/>
        <v>171248231.04000002</v>
      </c>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row>
    <row r="377" spans="1:34" s="3" customFormat="1" ht="46.5">
      <c r="A377" s="31" t="s">
        <v>230</v>
      </c>
      <c r="B377" s="24" t="s">
        <v>239</v>
      </c>
      <c r="C377" s="26" t="s">
        <v>231</v>
      </c>
      <c r="D377" s="26"/>
      <c r="E377" s="27">
        <f>SUM(E384,E381,E378)</f>
        <v>15219140.75</v>
      </c>
      <c r="F377" s="27">
        <f>SUM(F384,F381,F378)</f>
        <v>0</v>
      </c>
      <c r="G377" s="25">
        <f t="shared" si="12"/>
        <v>15219140.75</v>
      </c>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row>
    <row r="378" spans="1:34" s="3" customFormat="1" ht="15">
      <c r="A378" s="31" t="s">
        <v>240</v>
      </c>
      <c r="B378" s="33" t="s">
        <v>239</v>
      </c>
      <c r="C378" s="26" t="s">
        <v>241</v>
      </c>
      <c r="D378" s="26"/>
      <c r="E378" s="27">
        <f>E379</f>
        <v>7780356.83</v>
      </c>
      <c r="F378" s="27">
        <f>F379</f>
        <v>5437433.92</v>
      </c>
      <c r="G378" s="25">
        <f t="shared" si="12"/>
        <v>13217790.75</v>
      </c>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row>
    <row r="379" spans="1:34" s="3" customFormat="1" ht="15">
      <c r="A379" s="28" t="s">
        <v>668</v>
      </c>
      <c r="B379" s="33" t="s">
        <v>239</v>
      </c>
      <c r="C379" s="26" t="s">
        <v>241</v>
      </c>
      <c r="D379" s="26">
        <v>800</v>
      </c>
      <c r="E379" s="27">
        <f>E380</f>
        <v>7780356.83</v>
      </c>
      <c r="F379" s="27">
        <f>F380</f>
        <v>5437433.92</v>
      </c>
      <c r="G379" s="25">
        <f t="shared" si="12"/>
        <v>13217790.75</v>
      </c>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row>
    <row r="380" spans="1:34" s="3" customFormat="1" ht="46.5">
      <c r="A380" s="31" t="s">
        <v>142</v>
      </c>
      <c r="B380" s="33" t="s">
        <v>239</v>
      </c>
      <c r="C380" s="26" t="s">
        <v>241</v>
      </c>
      <c r="D380" s="26">
        <v>810</v>
      </c>
      <c r="E380" s="27">
        <v>7780356.83</v>
      </c>
      <c r="F380" s="27">
        <f>5437433.92+14668192.19-14668192.19</f>
        <v>5437433.92</v>
      </c>
      <c r="G380" s="25">
        <f t="shared" si="12"/>
        <v>13217790.75</v>
      </c>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row>
    <row r="381" spans="1:34" s="38" customFormat="1" ht="78">
      <c r="A381" s="48" t="s">
        <v>242</v>
      </c>
      <c r="B381" s="33" t="s">
        <v>239</v>
      </c>
      <c r="C381" s="36" t="s">
        <v>243</v>
      </c>
      <c r="D381" s="36"/>
      <c r="E381" s="37">
        <f>E382</f>
        <v>5438783.92</v>
      </c>
      <c r="F381" s="37">
        <f>F382</f>
        <v>-5437433.92</v>
      </c>
      <c r="G381" s="25">
        <f t="shared" si="12"/>
        <v>1350</v>
      </c>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row>
    <row r="382" spans="1:34" s="38" customFormat="1" ht="30.75">
      <c r="A382" s="35" t="s">
        <v>664</v>
      </c>
      <c r="B382" s="33" t="s">
        <v>239</v>
      </c>
      <c r="C382" s="36" t="s">
        <v>243</v>
      </c>
      <c r="D382" s="36">
        <v>200</v>
      </c>
      <c r="E382" s="37">
        <f>E383</f>
        <v>5438783.92</v>
      </c>
      <c r="F382" s="37">
        <f>F383</f>
        <v>-5437433.92</v>
      </c>
      <c r="G382" s="25">
        <f t="shared" si="12"/>
        <v>1350</v>
      </c>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row>
    <row r="383" spans="1:34" s="38" customFormat="1" ht="30.75">
      <c r="A383" s="35" t="s">
        <v>666</v>
      </c>
      <c r="B383" s="33" t="s">
        <v>239</v>
      </c>
      <c r="C383" s="36" t="s">
        <v>243</v>
      </c>
      <c r="D383" s="36">
        <v>240</v>
      </c>
      <c r="E383" s="37">
        <f>1350+5437433.92</f>
        <v>5438783.92</v>
      </c>
      <c r="F383" s="37">
        <v>-5437433.92</v>
      </c>
      <c r="G383" s="25">
        <f t="shared" si="12"/>
        <v>1350</v>
      </c>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row>
    <row r="384" spans="1:34" s="3" customFormat="1" ht="15">
      <c r="A384" s="31" t="s">
        <v>244</v>
      </c>
      <c r="B384" s="24" t="s">
        <v>239</v>
      </c>
      <c r="C384" s="26" t="s">
        <v>245</v>
      </c>
      <c r="D384" s="26"/>
      <c r="E384" s="27">
        <f>E385</f>
        <v>2000000</v>
      </c>
      <c r="F384" s="27">
        <f>F385</f>
        <v>0</v>
      </c>
      <c r="G384" s="25">
        <f t="shared" si="12"/>
        <v>2000000</v>
      </c>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row>
    <row r="385" spans="1:34" s="3" customFormat="1" ht="30.75">
      <c r="A385" s="31" t="s">
        <v>169</v>
      </c>
      <c r="B385" s="24" t="s">
        <v>239</v>
      </c>
      <c r="C385" s="26" t="s">
        <v>245</v>
      </c>
      <c r="D385" s="26">
        <v>400</v>
      </c>
      <c r="E385" s="27">
        <f>E386</f>
        <v>2000000</v>
      </c>
      <c r="F385" s="27">
        <f>F386</f>
        <v>0</v>
      </c>
      <c r="G385" s="25">
        <f t="shared" si="12"/>
        <v>2000000</v>
      </c>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row>
    <row r="386" spans="1:34" s="3" customFormat="1" ht="108.75">
      <c r="A386" s="31" t="s">
        <v>246</v>
      </c>
      <c r="B386" s="24" t="s">
        <v>239</v>
      </c>
      <c r="C386" s="26" t="s">
        <v>245</v>
      </c>
      <c r="D386" s="26">
        <v>460</v>
      </c>
      <c r="E386" s="27">
        <v>2000000</v>
      </c>
      <c r="F386" s="27">
        <v>0</v>
      </c>
      <c r="G386" s="25">
        <f t="shared" si="12"/>
        <v>2000000</v>
      </c>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row>
    <row r="387" spans="1:34" s="3" customFormat="1" ht="30.75">
      <c r="A387" s="31" t="s">
        <v>247</v>
      </c>
      <c r="B387" s="24" t="s">
        <v>239</v>
      </c>
      <c r="C387" s="26" t="s">
        <v>50</v>
      </c>
      <c r="D387" s="26"/>
      <c r="E387" s="27">
        <f>SUM(E388,E395,E417,E420,E392,E398,E405,E408,E402,E411,E414)</f>
        <v>156697282.48000002</v>
      </c>
      <c r="F387" s="27">
        <f>SUM(F388,F395,F417,F420,F392,F398,F405,F408,F402,F411,F414)</f>
        <v>-20678192.189999998</v>
      </c>
      <c r="G387" s="25">
        <f t="shared" si="12"/>
        <v>136019090.29000002</v>
      </c>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row>
    <row r="388" spans="1:34" s="3" customFormat="1" ht="46.5">
      <c r="A388" s="48" t="s">
        <v>248</v>
      </c>
      <c r="B388" s="33" t="s">
        <v>239</v>
      </c>
      <c r="C388" s="36" t="s">
        <v>249</v>
      </c>
      <c r="D388" s="36"/>
      <c r="E388" s="37">
        <f>E389</f>
        <v>4492524.29</v>
      </c>
      <c r="F388" s="37">
        <f>F389</f>
        <v>0</v>
      </c>
      <c r="G388" s="25">
        <f t="shared" si="12"/>
        <v>4492524.29</v>
      </c>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row>
    <row r="389" spans="1:34" s="3" customFormat="1" ht="30.75">
      <c r="A389" s="48" t="s">
        <v>169</v>
      </c>
      <c r="B389" s="33" t="s">
        <v>239</v>
      </c>
      <c r="C389" s="36" t="s">
        <v>249</v>
      </c>
      <c r="D389" s="36">
        <v>400</v>
      </c>
      <c r="E389" s="37">
        <f>E390+E391</f>
        <v>4492524.29</v>
      </c>
      <c r="F389" s="37">
        <f>F390+F391</f>
        <v>0</v>
      </c>
      <c r="G389" s="25">
        <f t="shared" si="12"/>
        <v>4492524.29</v>
      </c>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row>
    <row r="390" spans="1:34" s="3" customFormat="1" ht="15">
      <c r="A390" s="48" t="s">
        <v>170</v>
      </c>
      <c r="B390" s="33" t="s">
        <v>239</v>
      </c>
      <c r="C390" s="36" t="s">
        <v>249</v>
      </c>
      <c r="D390" s="36">
        <v>410</v>
      </c>
      <c r="E390" s="37">
        <v>4067841.42</v>
      </c>
      <c r="F390" s="37">
        <v>-292963.2</v>
      </c>
      <c r="G390" s="25">
        <f t="shared" si="12"/>
        <v>3774878.2199999997</v>
      </c>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row>
    <row r="391" spans="1:34" s="3" customFormat="1" ht="108.75">
      <c r="A391" s="31" t="s">
        <v>246</v>
      </c>
      <c r="B391" s="33" t="s">
        <v>239</v>
      </c>
      <c r="C391" s="36" t="s">
        <v>249</v>
      </c>
      <c r="D391" s="84">
        <v>460</v>
      </c>
      <c r="E391" s="37">
        <v>424682.87</v>
      </c>
      <c r="F391" s="37">
        <v>292963.2</v>
      </c>
      <c r="G391" s="25">
        <f t="shared" si="12"/>
        <v>717646.0700000001</v>
      </c>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row>
    <row r="392" spans="1:34" s="3" customFormat="1" ht="30.75">
      <c r="A392" s="31" t="s">
        <v>250</v>
      </c>
      <c r="B392" s="24" t="s">
        <v>239</v>
      </c>
      <c r="C392" s="26" t="s">
        <v>251</v>
      </c>
      <c r="D392" s="85"/>
      <c r="E392" s="27">
        <f>E393</f>
        <v>1912872</v>
      </c>
      <c r="F392" s="27">
        <f>F393</f>
        <v>0</v>
      </c>
      <c r="G392" s="25">
        <f t="shared" si="12"/>
        <v>1912872</v>
      </c>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row>
    <row r="393" spans="1:34" s="3" customFormat="1" ht="30.75">
      <c r="A393" s="31" t="s">
        <v>169</v>
      </c>
      <c r="B393" s="24" t="s">
        <v>239</v>
      </c>
      <c r="C393" s="26" t="s">
        <v>251</v>
      </c>
      <c r="D393" s="85">
        <v>400</v>
      </c>
      <c r="E393" s="27">
        <f>E394</f>
        <v>1912872</v>
      </c>
      <c r="F393" s="27">
        <f>F394</f>
        <v>0</v>
      </c>
      <c r="G393" s="25">
        <f t="shared" si="12"/>
        <v>1912872</v>
      </c>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row>
    <row r="394" spans="1:34" s="3" customFormat="1" ht="15">
      <c r="A394" s="31" t="s">
        <v>170</v>
      </c>
      <c r="B394" s="24" t="s">
        <v>239</v>
      </c>
      <c r="C394" s="26" t="s">
        <v>251</v>
      </c>
      <c r="D394" s="85">
        <v>410</v>
      </c>
      <c r="E394" s="27">
        <v>1912872</v>
      </c>
      <c r="F394" s="27">
        <v>0</v>
      </c>
      <c r="G394" s="25">
        <f t="shared" si="12"/>
        <v>1912872</v>
      </c>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row>
    <row r="395" spans="1:34" s="3" customFormat="1" ht="30.75">
      <c r="A395" s="31" t="s">
        <v>252</v>
      </c>
      <c r="B395" s="24" t="s">
        <v>239</v>
      </c>
      <c r="C395" s="26" t="s">
        <v>253</v>
      </c>
      <c r="D395" s="85"/>
      <c r="E395" s="27">
        <f>E396</f>
        <v>218525.05</v>
      </c>
      <c r="F395" s="27">
        <f>F396</f>
        <v>0</v>
      </c>
      <c r="G395" s="25">
        <f t="shared" si="12"/>
        <v>218525.05</v>
      </c>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row>
    <row r="396" spans="1:34" s="3" customFormat="1" ht="30.75">
      <c r="A396" s="31" t="s">
        <v>169</v>
      </c>
      <c r="B396" s="24" t="s">
        <v>239</v>
      </c>
      <c r="C396" s="26" t="s">
        <v>253</v>
      </c>
      <c r="D396" s="85">
        <v>400</v>
      </c>
      <c r="E396" s="27">
        <f>E397</f>
        <v>218525.05</v>
      </c>
      <c r="F396" s="27">
        <f>F397</f>
        <v>0</v>
      </c>
      <c r="G396" s="25">
        <f t="shared" si="12"/>
        <v>218525.05</v>
      </c>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row>
    <row r="397" spans="1:34" s="3" customFormat="1" ht="15">
      <c r="A397" s="31" t="s">
        <v>170</v>
      </c>
      <c r="B397" s="24" t="s">
        <v>239</v>
      </c>
      <c r="C397" s="26" t="s">
        <v>253</v>
      </c>
      <c r="D397" s="85">
        <v>410</v>
      </c>
      <c r="E397" s="27">
        <v>218525.05</v>
      </c>
      <c r="F397" s="27">
        <v>0</v>
      </c>
      <c r="G397" s="25">
        <f t="shared" si="12"/>
        <v>218525.05</v>
      </c>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row>
    <row r="398" spans="1:34" s="3" customFormat="1" ht="30.75">
      <c r="A398" s="31" t="s">
        <v>254</v>
      </c>
      <c r="B398" s="24" t="s">
        <v>239</v>
      </c>
      <c r="C398" s="26" t="s">
        <v>255</v>
      </c>
      <c r="D398" s="85"/>
      <c r="E398" s="27">
        <f>E399</f>
        <v>3000000</v>
      </c>
      <c r="F398" s="27">
        <f>F399</f>
        <v>0</v>
      </c>
      <c r="G398" s="25">
        <f t="shared" si="12"/>
        <v>3000000</v>
      </c>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row>
    <row r="399" spans="1:34" s="3" customFormat="1" ht="30.75">
      <c r="A399" s="31" t="s">
        <v>169</v>
      </c>
      <c r="B399" s="24" t="s">
        <v>239</v>
      </c>
      <c r="C399" s="26" t="s">
        <v>255</v>
      </c>
      <c r="D399" s="85">
        <v>400</v>
      </c>
      <c r="E399" s="27">
        <f>E400+E401</f>
        <v>3000000</v>
      </c>
      <c r="F399" s="27">
        <f>F400+F401</f>
        <v>0</v>
      </c>
      <c r="G399" s="25">
        <f t="shared" si="12"/>
        <v>3000000</v>
      </c>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row>
    <row r="400" spans="1:34" s="3" customFormat="1" ht="15">
      <c r="A400" s="31" t="s">
        <v>170</v>
      </c>
      <c r="B400" s="24" t="s">
        <v>239</v>
      </c>
      <c r="C400" s="26" t="s">
        <v>255</v>
      </c>
      <c r="D400" s="85">
        <v>410</v>
      </c>
      <c r="E400" s="27">
        <v>3000000</v>
      </c>
      <c r="F400" s="27">
        <v>-3000000</v>
      </c>
      <c r="G400" s="25">
        <f t="shared" si="12"/>
        <v>0</v>
      </c>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row>
    <row r="401" spans="1:34" s="3" customFormat="1" ht="97.5" customHeight="1">
      <c r="A401" s="31" t="s">
        <v>246</v>
      </c>
      <c r="B401" s="24" t="s">
        <v>239</v>
      </c>
      <c r="C401" s="26" t="s">
        <v>255</v>
      </c>
      <c r="D401" s="85">
        <v>460</v>
      </c>
      <c r="E401" s="27">
        <v>0</v>
      </c>
      <c r="F401" s="27">
        <v>3000000</v>
      </c>
      <c r="G401" s="25">
        <f t="shared" si="12"/>
        <v>3000000</v>
      </c>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row>
    <row r="402" spans="1:34" s="3" customFormat="1" ht="46.5">
      <c r="A402" s="86" t="s">
        <v>256</v>
      </c>
      <c r="B402" s="87" t="s">
        <v>239</v>
      </c>
      <c r="C402" s="88" t="s">
        <v>257</v>
      </c>
      <c r="D402" s="89"/>
      <c r="E402" s="56">
        <f>E403</f>
        <v>14668192.19</v>
      </c>
      <c r="F402" s="56">
        <f>F403</f>
        <v>-14668192.19</v>
      </c>
      <c r="G402" s="57">
        <f t="shared" si="12"/>
        <v>0</v>
      </c>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row>
    <row r="403" spans="1:34" s="3" customFormat="1" ht="30.75">
      <c r="A403" s="86" t="s">
        <v>169</v>
      </c>
      <c r="B403" s="87" t="s">
        <v>239</v>
      </c>
      <c r="C403" s="88" t="s">
        <v>257</v>
      </c>
      <c r="D403" s="89">
        <v>400</v>
      </c>
      <c r="E403" s="56">
        <f>E404</f>
        <v>14668192.19</v>
      </c>
      <c r="F403" s="56">
        <f>F404</f>
        <v>-14668192.19</v>
      </c>
      <c r="G403" s="57">
        <f t="shared" si="12"/>
        <v>0</v>
      </c>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row>
    <row r="404" spans="1:34" s="3" customFormat="1" ht="108.75">
      <c r="A404" s="31" t="s">
        <v>246</v>
      </c>
      <c r="B404" s="87" t="s">
        <v>239</v>
      </c>
      <c r="C404" s="88" t="s">
        <v>257</v>
      </c>
      <c r="D404" s="89">
        <v>460</v>
      </c>
      <c r="E404" s="56">
        <v>14668192.19</v>
      </c>
      <c r="F404" s="58">
        <v>-14668192.19</v>
      </c>
      <c r="G404" s="57">
        <f t="shared" si="12"/>
        <v>0</v>
      </c>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row>
    <row r="405" spans="1:34" s="3" customFormat="1" ht="30.75">
      <c r="A405" s="31" t="s">
        <v>258</v>
      </c>
      <c r="B405" s="24" t="s">
        <v>239</v>
      </c>
      <c r="C405" s="26" t="s">
        <v>259</v>
      </c>
      <c r="D405" s="85"/>
      <c r="E405" s="27">
        <f>E406</f>
        <v>1000000</v>
      </c>
      <c r="F405" s="27">
        <f>F406</f>
        <v>-1000000</v>
      </c>
      <c r="G405" s="25">
        <f t="shared" si="12"/>
        <v>0</v>
      </c>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row>
    <row r="406" spans="1:34" s="3" customFormat="1" ht="30.75">
      <c r="A406" s="31" t="s">
        <v>169</v>
      </c>
      <c r="B406" s="24" t="s">
        <v>239</v>
      </c>
      <c r="C406" s="26" t="s">
        <v>259</v>
      </c>
      <c r="D406" s="85">
        <v>400</v>
      </c>
      <c r="E406" s="27">
        <f>E407</f>
        <v>1000000</v>
      </c>
      <c r="F406" s="27">
        <f>F407</f>
        <v>-1000000</v>
      </c>
      <c r="G406" s="25">
        <f t="shared" si="12"/>
        <v>0</v>
      </c>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row>
    <row r="407" spans="1:34" s="3" customFormat="1" ht="15">
      <c r="A407" s="31" t="s">
        <v>170</v>
      </c>
      <c r="B407" s="24" t="s">
        <v>239</v>
      </c>
      <c r="C407" s="26" t="s">
        <v>259</v>
      </c>
      <c r="D407" s="85">
        <v>410</v>
      </c>
      <c r="E407" s="27">
        <v>1000000</v>
      </c>
      <c r="F407" s="27">
        <v>-1000000</v>
      </c>
      <c r="G407" s="25">
        <f t="shared" si="12"/>
        <v>0</v>
      </c>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row>
    <row r="408" spans="1:34" s="38" customFormat="1" ht="120.75" customHeight="1">
      <c r="A408" s="48" t="s">
        <v>260</v>
      </c>
      <c r="B408" s="33" t="s">
        <v>239</v>
      </c>
      <c r="C408" s="36" t="s">
        <v>261</v>
      </c>
      <c r="D408" s="84"/>
      <c r="E408" s="37">
        <f>E409</f>
        <v>5010000</v>
      </c>
      <c r="F408" s="27">
        <f>F409</f>
        <v>-5010000</v>
      </c>
      <c r="G408" s="25">
        <f t="shared" si="12"/>
        <v>0</v>
      </c>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row>
    <row r="409" spans="1:34" s="38" customFormat="1" ht="30.75">
      <c r="A409" s="48" t="s">
        <v>169</v>
      </c>
      <c r="B409" s="33" t="s">
        <v>239</v>
      </c>
      <c r="C409" s="36" t="s">
        <v>261</v>
      </c>
      <c r="D409" s="84">
        <v>400</v>
      </c>
      <c r="E409" s="37">
        <f>E410</f>
        <v>5010000</v>
      </c>
      <c r="F409" s="27">
        <f>F410</f>
        <v>-5010000</v>
      </c>
      <c r="G409" s="25">
        <f aca="true" t="shared" si="15" ref="G409:G481">SUM(E409:F409)</f>
        <v>0</v>
      </c>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row>
    <row r="410" spans="1:34" s="38" customFormat="1" ht="15">
      <c r="A410" s="48" t="s">
        <v>170</v>
      </c>
      <c r="B410" s="33" t="s">
        <v>239</v>
      </c>
      <c r="C410" s="36" t="s">
        <v>261</v>
      </c>
      <c r="D410" s="84">
        <v>410</v>
      </c>
      <c r="E410" s="37">
        <f>10000+5000000</f>
        <v>5010000</v>
      </c>
      <c r="F410" s="27">
        <f>-5000000-10000</f>
        <v>-5010000</v>
      </c>
      <c r="G410" s="25">
        <f t="shared" si="15"/>
        <v>0</v>
      </c>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row>
    <row r="411" spans="1:34" s="38" customFormat="1" ht="30.75">
      <c r="A411" s="31" t="s">
        <v>262</v>
      </c>
      <c r="B411" s="24" t="s">
        <v>239</v>
      </c>
      <c r="C411" s="26" t="s">
        <v>263</v>
      </c>
      <c r="D411" s="85"/>
      <c r="E411" s="27">
        <f>E412</f>
        <v>16876666.67</v>
      </c>
      <c r="F411" s="27">
        <f>F412</f>
        <v>-7200000</v>
      </c>
      <c r="G411" s="25">
        <f t="shared" si="15"/>
        <v>9676666.670000002</v>
      </c>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row>
    <row r="412" spans="1:34" s="38" customFormat="1" ht="30.75">
      <c r="A412" s="31" t="s">
        <v>169</v>
      </c>
      <c r="B412" s="24" t="s">
        <v>239</v>
      </c>
      <c r="C412" s="26" t="s">
        <v>263</v>
      </c>
      <c r="D412" s="85">
        <v>400</v>
      </c>
      <c r="E412" s="27">
        <f>E413</f>
        <v>16876666.67</v>
      </c>
      <c r="F412" s="27">
        <f>F413</f>
        <v>-7200000</v>
      </c>
      <c r="G412" s="25">
        <f t="shared" si="15"/>
        <v>9676666.670000002</v>
      </c>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row>
    <row r="413" spans="1:34" s="38" customFormat="1" ht="96.75" customHeight="1">
      <c r="A413" s="31" t="s">
        <v>246</v>
      </c>
      <c r="B413" s="24" t="s">
        <v>239</v>
      </c>
      <c r="C413" s="26" t="s">
        <v>263</v>
      </c>
      <c r="D413" s="85">
        <v>460</v>
      </c>
      <c r="E413" s="27">
        <v>16876666.67</v>
      </c>
      <c r="F413" s="27">
        <v>-7200000</v>
      </c>
      <c r="G413" s="25">
        <f t="shared" si="15"/>
        <v>9676666.670000002</v>
      </c>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row>
    <row r="414" spans="1:34" s="38" customFormat="1" ht="35.25" customHeight="1">
      <c r="A414" s="31" t="s">
        <v>633</v>
      </c>
      <c r="B414" s="24" t="s">
        <v>239</v>
      </c>
      <c r="C414" s="26" t="s">
        <v>632</v>
      </c>
      <c r="D414" s="85"/>
      <c r="E414" s="27">
        <f>E415</f>
        <v>0</v>
      </c>
      <c r="F414" s="27">
        <f>F415</f>
        <v>7200000</v>
      </c>
      <c r="G414" s="25">
        <f t="shared" si="15"/>
        <v>7200000</v>
      </c>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row>
    <row r="415" spans="1:34" s="38" customFormat="1" ht="30.75">
      <c r="A415" s="31" t="s">
        <v>169</v>
      </c>
      <c r="B415" s="24" t="s">
        <v>239</v>
      </c>
      <c r="C415" s="26" t="s">
        <v>632</v>
      </c>
      <c r="D415" s="85">
        <v>400</v>
      </c>
      <c r="E415" s="27">
        <f>E416</f>
        <v>0</v>
      </c>
      <c r="F415" s="27">
        <f>F416</f>
        <v>7200000</v>
      </c>
      <c r="G415" s="25">
        <f t="shared" si="15"/>
        <v>7200000</v>
      </c>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row>
    <row r="416" spans="1:34" s="38" customFormat="1" ht="95.25" customHeight="1">
      <c r="A416" s="31" t="s">
        <v>246</v>
      </c>
      <c r="B416" s="24" t="s">
        <v>239</v>
      </c>
      <c r="C416" s="26" t="s">
        <v>632</v>
      </c>
      <c r="D416" s="85">
        <v>460</v>
      </c>
      <c r="E416" s="27">
        <v>0</v>
      </c>
      <c r="F416" s="27">
        <v>7200000</v>
      </c>
      <c r="G416" s="25">
        <f t="shared" si="15"/>
        <v>7200000</v>
      </c>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row>
    <row r="417" spans="1:34" s="38" customFormat="1" ht="61.5" customHeight="1">
      <c r="A417" s="48" t="s">
        <v>264</v>
      </c>
      <c r="B417" s="33" t="s">
        <v>239</v>
      </c>
      <c r="C417" s="36" t="s">
        <v>265</v>
      </c>
      <c r="D417" s="36"/>
      <c r="E417" s="37">
        <f>E418</f>
        <v>46657466.96</v>
      </c>
      <c r="F417" s="37">
        <f>F418</f>
        <v>0</v>
      </c>
      <c r="G417" s="25">
        <f t="shared" si="15"/>
        <v>46657466.96</v>
      </c>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row>
    <row r="418" spans="1:34" s="38" customFormat="1" ht="30.75">
      <c r="A418" s="48" t="s">
        <v>169</v>
      </c>
      <c r="B418" s="33" t="s">
        <v>239</v>
      </c>
      <c r="C418" s="36" t="s">
        <v>265</v>
      </c>
      <c r="D418" s="36">
        <v>400</v>
      </c>
      <c r="E418" s="37">
        <f>E419</f>
        <v>46657466.96</v>
      </c>
      <c r="F418" s="37">
        <f>F419</f>
        <v>0</v>
      </c>
      <c r="G418" s="25">
        <f t="shared" si="15"/>
        <v>46657466.96</v>
      </c>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row>
    <row r="419" spans="1:34" s="38" customFormat="1" ht="108.75">
      <c r="A419" s="80" t="s">
        <v>266</v>
      </c>
      <c r="B419" s="33" t="s">
        <v>239</v>
      </c>
      <c r="C419" s="36" t="s">
        <v>265</v>
      </c>
      <c r="D419" s="36">
        <v>460</v>
      </c>
      <c r="E419" s="37">
        <v>46657466.96</v>
      </c>
      <c r="F419" s="37">
        <v>0</v>
      </c>
      <c r="G419" s="25">
        <f t="shared" si="15"/>
        <v>46657466.96</v>
      </c>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row>
    <row r="420" spans="1:34" s="38" customFormat="1" ht="77.25" customHeight="1">
      <c r="A420" s="48" t="s">
        <v>267</v>
      </c>
      <c r="B420" s="33" t="s">
        <v>239</v>
      </c>
      <c r="C420" s="36" t="s">
        <v>268</v>
      </c>
      <c r="D420" s="36"/>
      <c r="E420" s="37">
        <f>E421</f>
        <v>62861035.32</v>
      </c>
      <c r="F420" s="37">
        <f>F421</f>
        <v>0</v>
      </c>
      <c r="G420" s="25">
        <f t="shared" si="15"/>
        <v>62861035.32</v>
      </c>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row>
    <row r="421" spans="1:34" s="38" customFormat="1" ht="30.75">
      <c r="A421" s="48" t="s">
        <v>169</v>
      </c>
      <c r="B421" s="33" t="s">
        <v>239</v>
      </c>
      <c r="C421" s="36" t="s">
        <v>268</v>
      </c>
      <c r="D421" s="36">
        <v>400</v>
      </c>
      <c r="E421" s="37">
        <f>E422</f>
        <v>62861035.32</v>
      </c>
      <c r="F421" s="37">
        <f>F422</f>
        <v>0</v>
      </c>
      <c r="G421" s="25">
        <f t="shared" si="15"/>
        <v>62861035.32</v>
      </c>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row>
    <row r="422" spans="1:34" s="38" customFormat="1" ht="15">
      <c r="A422" s="48" t="s">
        <v>170</v>
      </c>
      <c r="B422" s="33" t="s">
        <v>239</v>
      </c>
      <c r="C422" s="36" t="s">
        <v>268</v>
      </c>
      <c r="D422" s="36">
        <v>410</v>
      </c>
      <c r="E422" s="37">
        <v>62861035.32</v>
      </c>
      <c r="F422" s="37">
        <v>0</v>
      </c>
      <c r="G422" s="25">
        <f t="shared" si="15"/>
        <v>62861035.32</v>
      </c>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row>
    <row r="423" spans="1:34" s="3" customFormat="1" ht="15">
      <c r="A423" s="30" t="s">
        <v>674</v>
      </c>
      <c r="B423" s="24" t="s">
        <v>239</v>
      </c>
      <c r="C423" s="26" t="s">
        <v>675</v>
      </c>
      <c r="D423" s="59"/>
      <c r="E423" s="27">
        <f>E424+E431</f>
        <v>25000000</v>
      </c>
      <c r="F423" s="27">
        <f>F424+F431</f>
        <v>-4990000</v>
      </c>
      <c r="G423" s="25">
        <f t="shared" si="15"/>
        <v>20010000</v>
      </c>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row>
    <row r="424" spans="1:34" s="3" customFormat="1" ht="30.75">
      <c r="A424" s="31" t="s">
        <v>19</v>
      </c>
      <c r="B424" s="24" t="s">
        <v>239</v>
      </c>
      <c r="C424" s="26" t="s">
        <v>20</v>
      </c>
      <c r="D424" s="26"/>
      <c r="E424" s="27">
        <f>SUM(E425,E428)</f>
        <v>25000000</v>
      </c>
      <c r="F424" s="27">
        <f>SUM(F425,F428)</f>
        <v>-5000000</v>
      </c>
      <c r="G424" s="25">
        <f t="shared" si="15"/>
        <v>20000000</v>
      </c>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row>
    <row r="425" spans="1:34" s="3" customFormat="1" ht="62.25">
      <c r="A425" s="31" t="s">
        <v>269</v>
      </c>
      <c r="B425" s="24" t="s">
        <v>239</v>
      </c>
      <c r="C425" s="26" t="s">
        <v>270</v>
      </c>
      <c r="D425" s="26"/>
      <c r="E425" s="49">
        <f>E426</f>
        <v>20000000</v>
      </c>
      <c r="F425" s="49">
        <f>F426</f>
        <v>0</v>
      </c>
      <c r="G425" s="25">
        <f t="shared" si="15"/>
        <v>20000000</v>
      </c>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row>
    <row r="426" spans="1:34" s="3" customFormat="1" ht="15">
      <c r="A426" s="31" t="s">
        <v>668</v>
      </c>
      <c r="B426" s="24" t="s">
        <v>239</v>
      </c>
      <c r="C426" s="26" t="s">
        <v>270</v>
      </c>
      <c r="D426" s="26">
        <v>800</v>
      </c>
      <c r="E426" s="49">
        <f>E427</f>
        <v>20000000</v>
      </c>
      <c r="F426" s="49">
        <f>F427</f>
        <v>0</v>
      </c>
      <c r="G426" s="25">
        <f t="shared" si="15"/>
        <v>20000000</v>
      </c>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row>
    <row r="427" spans="1:34" s="3" customFormat="1" ht="46.5">
      <c r="A427" s="31" t="s">
        <v>142</v>
      </c>
      <c r="B427" s="24" t="s">
        <v>239</v>
      </c>
      <c r="C427" s="26" t="s">
        <v>270</v>
      </c>
      <c r="D427" s="26">
        <v>810</v>
      </c>
      <c r="E427" s="49">
        <v>20000000</v>
      </c>
      <c r="F427" s="49">
        <v>0</v>
      </c>
      <c r="G427" s="25">
        <f t="shared" si="15"/>
        <v>20000000</v>
      </c>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row>
    <row r="428" spans="1:34" s="3" customFormat="1" ht="46.5">
      <c r="A428" s="86" t="s">
        <v>271</v>
      </c>
      <c r="B428" s="24" t="s">
        <v>239</v>
      </c>
      <c r="C428" s="88" t="s">
        <v>272</v>
      </c>
      <c r="D428" s="88"/>
      <c r="E428" s="58">
        <f>E429</f>
        <v>5000000</v>
      </c>
      <c r="F428" s="58">
        <f>F429</f>
        <v>-5000000</v>
      </c>
      <c r="G428" s="57">
        <f t="shared" si="15"/>
        <v>0</v>
      </c>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row>
    <row r="429" spans="1:34" s="3" customFormat="1" ht="15">
      <c r="A429" s="31" t="s">
        <v>668</v>
      </c>
      <c r="B429" s="24" t="s">
        <v>239</v>
      </c>
      <c r="C429" s="88" t="s">
        <v>272</v>
      </c>
      <c r="D429" s="88">
        <v>800</v>
      </c>
      <c r="E429" s="56">
        <f>E430</f>
        <v>5000000</v>
      </c>
      <c r="F429" s="58">
        <f>F430</f>
        <v>-5000000</v>
      </c>
      <c r="G429" s="57">
        <f t="shared" si="15"/>
        <v>0</v>
      </c>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row>
    <row r="430" spans="1:34" s="3" customFormat="1" ht="46.5">
      <c r="A430" s="31" t="s">
        <v>142</v>
      </c>
      <c r="B430" s="24" t="s">
        <v>239</v>
      </c>
      <c r="C430" s="88" t="s">
        <v>272</v>
      </c>
      <c r="D430" s="88">
        <v>810</v>
      </c>
      <c r="E430" s="56">
        <v>5000000</v>
      </c>
      <c r="F430" s="58">
        <v>-5000000</v>
      </c>
      <c r="G430" s="57">
        <f t="shared" si="15"/>
        <v>0</v>
      </c>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row>
    <row r="431" spans="1:34" s="3" customFormat="1" ht="46.5">
      <c r="A431" s="31" t="s">
        <v>6</v>
      </c>
      <c r="B431" s="24" t="s">
        <v>239</v>
      </c>
      <c r="C431" s="26" t="s">
        <v>7</v>
      </c>
      <c r="D431" s="26"/>
      <c r="E431" s="27">
        <f aca="true" t="shared" si="16" ref="E431:F433">E432</f>
        <v>0</v>
      </c>
      <c r="F431" s="27">
        <f t="shared" si="16"/>
        <v>10000</v>
      </c>
      <c r="G431" s="25">
        <f t="shared" si="15"/>
        <v>10000</v>
      </c>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row>
    <row r="432" spans="1:34" s="3" customFormat="1" ht="108.75">
      <c r="A432" s="31" t="s">
        <v>125</v>
      </c>
      <c r="B432" s="24" t="s">
        <v>239</v>
      </c>
      <c r="C432" s="26" t="s">
        <v>126</v>
      </c>
      <c r="D432" s="85"/>
      <c r="E432" s="49">
        <f t="shared" si="16"/>
        <v>0</v>
      </c>
      <c r="F432" s="49">
        <f t="shared" si="16"/>
        <v>10000</v>
      </c>
      <c r="G432" s="25">
        <f t="shared" si="15"/>
        <v>10000</v>
      </c>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row>
    <row r="433" spans="1:34" s="3" customFormat="1" ht="30.75">
      <c r="A433" s="31" t="s">
        <v>169</v>
      </c>
      <c r="B433" s="24" t="s">
        <v>239</v>
      </c>
      <c r="C433" s="26" t="s">
        <v>126</v>
      </c>
      <c r="D433" s="85">
        <v>400</v>
      </c>
      <c r="E433" s="49">
        <f t="shared" si="16"/>
        <v>0</v>
      </c>
      <c r="F433" s="49">
        <f t="shared" si="16"/>
        <v>10000</v>
      </c>
      <c r="G433" s="25">
        <f t="shared" si="15"/>
        <v>10000</v>
      </c>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row>
    <row r="434" spans="1:34" s="3" customFormat="1" ht="15">
      <c r="A434" s="31" t="s">
        <v>170</v>
      </c>
      <c r="B434" s="24" t="s">
        <v>239</v>
      </c>
      <c r="C434" s="26" t="s">
        <v>126</v>
      </c>
      <c r="D434" s="85">
        <v>410</v>
      </c>
      <c r="E434" s="49"/>
      <c r="F434" s="49">
        <v>10000</v>
      </c>
      <c r="G434" s="25">
        <f t="shared" si="15"/>
        <v>10000</v>
      </c>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row>
    <row r="435" spans="1:34" s="3" customFormat="1" ht="15.75">
      <c r="A435" s="20" t="s">
        <v>273</v>
      </c>
      <c r="B435" s="21" t="s">
        <v>274</v>
      </c>
      <c r="C435" s="59"/>
      <c r="D435" s="59"/>
      <c r="E435" s="47">
        <f>SUM(E436,E473,E486)</f>
        <v>244291763.92</v>
      </c>
      <c r="F435" s="47">
        <f>SUM(F436,F473,F486)</f>
        <v>12850330.48</v>
      </c>
      <c r="G435" s="22">
        <f t="shared" si="15"/>
        <v>257142094.39999998</v>
      </c>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row>
    <row r="436" spans="1:34" s="3" customFormat="1" ht="30.75">
      <c r="A436" s="31" t="s">
        <v>40</v>
      </c>
      <c r="B436" s="24" t="s">
        <v>274</v>
      </c>
      <c r="C436" s="26" t="s">
        <v>41</v>
      </c>
      <c r="D436" s="26"/>
      <c r="E436" s="27">
        <f>SUM(E437,E450,E457,E469)</f>
        <v>202386238.28</v>
      </c>
      <c r="F436" s="27">
        <f>SUM(F437,F450,F457,F469)</f>
        <v>13801127</v>
      </c>
      <c r="G436" s="25">
        <f t="shared" si="15"/>
        <v>216187365.28</v>
      </c>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row>
    <row r="437" spans="1:34" s="3" customFormat="1" ht="30.75">
      <c r="A437" s="31" t="s">
        <v>275</v>
      </c>
      <c r="B437" s="24" t="s">
        <v>274</v>
      </c>
      <c r="C437" s="26" t="s">
        <v>276</v>
      </c>
      <c r="D437" s="26"/>
      <c r="E437" s="27">
        <f>SUM(E438,E441,E444,E447)</f>
        <v>77518198.28</v>
      </c>
      <c r="F437" s="27">
        <f>SUM(F438,F441,F444,F447)</f>
        <v>4040867</v>
      </c>
      <c r="G437" s="25">
        <f t="shared" si="15"/>
        <v>81559065.28</v>
      </c>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row>
    <row r="438" spans="1:34" s="3" customFormat="1" ht="30.75">
      <c r="A438" s="31" t="s">
        <v>277</v>
      </c>
      <c r="B438" s="24" t="s">
        <v>274</v>
      </c>
      <c r="C438" s="26" t="s">
        <v>278</v>
      </c>
      <c r="D438" s="26"/>
      <c r="E438" s="27">
        <f>SUM(E439)</f>
        <v>34744198.28</v>
      </c>
      <c r="F438" s="27">
        <f>SUM(F439)</f>
        <v>2557107</v>
      </c>
      <c r="G438" s="25">
        <f t="shared" si="15"/>
        <v>37301305.28</v>
      </c>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row>
    <row r="439" spans="1:34" s="3" customFormat="1" ht="15">
      <c r="A439" s="28" t="s">
        <v>668</v>
      </c>
      <c r="B439" s="24" t="s">
        <v>274</v>
      </c>
      <c r="C439" s="26" t="s">
        <v>278</v>
      </c>
      <c r="D439" s="26">
        <v>800</v>
      </c>
      <c r="E439" s="27">
        <f>E440</f>
        <v>34744198.28</v>
      </c>
      <c r="F439" s="27">
        <f>F440</f>
        <v>2557107</v>
      </c>
      <c r="G439" s="25">
        <f t="shared" si="15"/>
        <v>37301305.28</v>
      </c>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row>
    <row r="440" spans="1:34" s="16" customFormat="1" ht="46.5">
      <c r="A440" s="31" t="s">
        <v>142</v>
      </c>
      <c r="B440" s="24" t="s">
        <v>274</v>
      </c>
      <c r="C440" s="26" t="s">
        <v>278</v>
      </c>
      <c r="D440" s="26">
        <v>810</v>
      </c>
      <c r="E440" s="27">
        <f>35000000-255801.72</f>
        <v>34744198.28</v>
      </c>
      <c r="F440" s="27">
        <f>1161427+895680+500000</f>
        <v>2557107</v>
      </c>
      <c r="G440" s="25">
        <f t="shared" si="15"/>
        <v>37301305.28</v>
      </c>
      <c r="H440" s="3"/>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row>
    <row r="441" spans="1:34" s="44" customFormat="1" ht="62.25">
      <c r="A441" s="48" t="s">
        <v>279</v>
      </c>
      <c r="B441" s="33" t="s">
        <v>274</v>
      </c>
      <c r="C441" s="36" t="s">
        <v>280</v>
      </c>
      <c r="D441" s="36"/>
      <c r="E441" s="37">
        <f>E442</f>
        <v>3774000</v>
      </c>
      <c r="F441" s="27">
        <f>F442</f>
        <v>0</v>
      </c>
      <c r="G441" s="25">
        <f t="shared" si="15"/>
        <v>3774000</v>
      </c>
      <c r="H441" s="38"/>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row>
    <row r="442" spans="1:34" s="44" customFormat="1" ht="30.75">
      <c r="A442" s="35" t="s">
        <v>664</v>
      </c>
      <c r="B442" s="33" t="s">
        <v>274</v>
      </c>
      <c r="C442" s="36" t="s">
        <v>280</v>
      </c>
      <c r="D442" s="36">
        <v>200</v>
      </c>
      <c r="E442" s="37">
        <f>E443</f>
        <v>3774000</v>
      </c>
      <c r="F442" s="27">
        <f>F443</f>
        <v>0</v>
      </c>
      <c r="G442" s="25">
        <f t="shared" si="15"/>
        <v>3774000</v>
      </c>
      <c r="H442" s="38"/>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row>
    <row r="443" spans="1:34" s="44" customFormat="1" ht="30.75">
      <c r="A443" s="35" t="s">
        <v>666</v>
      </c>
      <c r="B443" s="33" t="s">
        <v>274</v>
      </c>
      <c r="C443" s="36" t="s">
        <v>280</v>
      </c>
      <c r="D443" s="36">
        <v>240</v>
      </c>
      <c r="E443" s="37">
        <f>3518198.28+255801.72</f>
        <v>3774000</v>
      </c>
      <c r="F443" s="27">
        <v>0</v>
      </c>
      <c r="G443" s="25">
        <f t="shared" si="15"/>
        <v>3774000</v>
      </c>
      <c r="H443" s="38"/>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row>
    <row r="444" spans="1:34" s="16" customFormat="1" ht="30.75">
      <c r="A444" s="31" t="s">
        <v>281</v>
      </c>
      <c r="B444" s="24" t="s">
        <v>274</v>
      </c>
      <c r="C444" s="26" t="s">
        <v>282</v>
      </c>
      <c r="D444" s="26"/>
      <c r="E444" s="27">
        <f>E445</f>
        <v>30000000</v>
      </c>
      <c r="F444" s="27">
        <f>F445</f>
        <v>983760</v>
      </c>
      <c r="G444" s="25">
        <f t="shared" si="15"/>
        <v>30983760</v>
      </c>
      <c r="H444" s="3"/>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row>
    <row r="445" spans="1:34" s="3" customFormat="1" ht="15">
      <c r="A445" s="28" t="s">
        <v>668</v>
      </c>
      <c r="B445" s="24" t="s">
        <v>274</v>
      </c>
      <c r="C445" s="26" t="s">
        <v>282</v>
      </c>
      <c r="D445" s="26">
        <v>800</v>
      </c>
      <c r="E445" s="27">
        <f>E446</f>
        <v>30000000</v>
      </c>
      <c r="F445" s="27">
        <f>F446</f>
        <v>983760</v>
      </c>
      <c r="G445" s="25">
        <f t="shared" si="15"/>
        <v>30983760</v>
      </c>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row>
    <row r="446" spans="1:34" s="3" customFormat="1" ht="46.5">
      <c r="A446" s="31" t="s">
        <v>142</v>
      </c>
      <c r="B446" s="24" t="s">
        <v>274</v>
      </c>
      <c r="C446" s="26" t="s">
        <v>282</v>
      </c>
      <c r="D446" s="26">
        <v>810</v>
      </c>
      <c r="E446" s="27">
        <v>30000000</v>
      </c>
      <c r="F446" s="27">
        <v>983760</v>
      </c>
      <c r="G446" s="25">
        <f t="shared" si="15"/>
        <v>30983760</v>
      </c>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row>
    <row r="447" spans="1:34" s="3" customFormat="1" ht="30.75">
      <c r="A447" s="61" t="s">
        <v>283</v>
      </c>
      <c r="B447" s="24" t="s">
        <v>274</v>
      </c>
      <c r="C447" s="26" t="s">
        <v>284</v>
      </c>
      <c r="D447" s="26"/>
      <c r="E447" s="27">
        <f>E448</f>
        <v>9000000</v>
      </c>
      <c r="F447" s="27">
        <f>F448</f>
        <v>500000</v>
      </c>
      <c r="G447" s="25">
        <f t="shared" si="15"/>
        <v>9500000</v>
      </c>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row>
    <row r="448" spans="1:34" s="3" customFormat="1" ht="15">
      <c r="A448" s="28" t="s">
        <v>668</v>
      </c>
      <c r="B448" s="24" t="s">
        <v>274</v>
      </c>
      <c r="C448" s="26" t="s">
        <v>284</v>
      </c>
      <c r="D448" s="26">
        <v>800</v>
      </c>
      <c r="E448" s="27">
        <f>E449</f>
        <v>9000000</v>
      </c>
      <c r="F448" s="27">
        <f>F449</f>
        <v>500000</v>
      </c>
      <c r="G448" s="25">
        <f t="shared" si="15"/>
        <v>9500000</v>
      </c>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row>
    <row r="449" spans="1:34" s="3" customFormat="1" ht="46.5">
      <c r="A449" s="31" t="s">
        <v>142</v>
      </c>
      <c r="B449" s="24" t="s">
        <v>274</v>
      </c>
      <c r="C449" s="26" t="s">
        <v>284</v>
      </c>
      <c r="D449" s="26">
        <v>810</v>
      </c>
      <c r="E449" s="27">
        <v>9000000</v>
      </c>
      <c r="F449" s="27">
        <f>-500000+1000000</f>
        <v>500000</v>
      </c>
      <c r="G449" s="25">
        <f t="shared" si="15"/>
        <v>9500000</v>
      </c>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row>
    <row r="450" spans="1:34" s="16" customFormat="1" ht="30.75">
      <c r="A450" s="31" t="s">
        <v>285</v>
      </c>
      <c r="B450" s="24" t="s">
        <v>274</v>
      </c>
      <c r="C450" s="26" t="s">
        <v>286</v>
      </c>
      <c r="D450" s="26"/>
      <c r="E450" s="27">
        <f>SUM(E451,E454)</f>
        <v>49000000</v>
      </c>
      <c r="F450" s="27">
        <f>SUM(F451,F454)</f>
        <v>1126000</v>
      </c>
      <c r="G450" s="25">
        <f t="shared" si="15"/>
        <v>50126000</v>
      </c>
      <c r="H450" s="3"/>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row>
    <row r="451" spans="1:34" s="3" customFormat="1" ht="15">
      <c r="A451" s="31" t="s">
        <v>287</v>
      </c>
      <c r="B451" s="24" t="s">
        <v>274</v>
      </c>
      <c r="C451" s="26" t="s">
        <v>288</v>
      </c>
      <c r="D451" s="26"/>
      <c r="E451" s="27">
        <f>E452</f>
        <v>45000000</v>
      </c>
      <c r="F451" s="27">
        <f>F452</f>
        <v>0</v>
      </c>
      <c r="G451" s="25">
        <f t="shared" si="15"/>
        <v>45000000</v>
      </c>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row>
    <row r="452" spans="1:34" s="3" customFormat="1" ht="15">
      <c r="A452" s="28" t="s">
        <v>668</v>
      </c>
      <c r="B452" s="24" t="s">
        <v>274</v>
      </c>
      <c r="C452" s="26" t="s">
        <v>288</v>
      </c>
      <c r="D452" s="26">
        <v>800</v>
      </c>
      <c r="E452" s="27">
        <f>E453</f>
        <v>45000000</v>
      </c>
      <c r="F452" s="27">
        <f>F453</f>
        <v>0</v>
      </c>
      <c r="G452" s="25">
        <f t="shared" si="15"/>
        <v>45000000</v>
      </c>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row>
    <row r="453" spans="1:34" s="16" customFormat="1" ht="46.5">
      <c r="A453" s="31" t="s">
        <v>142</v>
      </c>
      <c r="B453" s="24" t="s">
        <v>274</v>
      </c>
      <c r="C453" s="26" t="s">
        <v>288</v>
      </c>
      <c r="D453" s="26">
        <v>810</v>
      </c>
      <c r="E453" s="27">
        <v>45000000</v>
      </c>
      <c r="F453" s="27">
        <v>0</v>
      </c>
      <c r="G453" s="25">
        <f t="shared" si="15"/>
        <v>45000000</v>
      </c>
      <c r="H453" s="3"/>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row>
    <row r="454" spans="1:34" s="3" customFormat="1" ht="30.75">
      <c r="A454" s="31" t="s">
        <v>289</v>
      </c>
      <c r="B454" s="24" t="s">
        <v>274</v>
      </c>
      <c r="C454" s="26" t="s">
        <v>290</v>
      </c>
      <c r="D454" s="26"/>
      <c r="E454" s="27">
        <f>E455</f>
        <v>4000000</v>
      </c>
      <c r="F454" s="27">
        <f>F455</f>
        <v>1126000</v>
      </c>
      <c r="G454" s="25">
        <f t="shared" si="15"/>
        <v>5126000</v>
      </c>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row>
    <row r="455" spans="1:34" s="16" customFormat="1" ht="30.75">
      <c r="A455" s="31" t="s">
        <v>169</v>
      </c>
      <c r="B455" s="24" t="s">
        <v>274</v>
      </c>
      <c r="C455" s="26" t="s">
        <v>290</v>
      </c>
      <c r="D455" s="26">
        <v>400</v>
      </c>
      <c r="E455" s="27">
        <f>E456</f>
        <v>4000000</v>
      </c>
      <c r="F455" s="27">
        <f>F456</f>
        <v>1126000</v>
      </c>
      <c r="G455" s="25">
        <f t="shared" si="15"/>
        <v>5126000</v>
      </c>
      <c r="H455" s="3"/>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row>
    <row r="456" spans="1:34" s="3" customFormat="1" ht="108.75">
      <c r="A456" s="31" t="s">
        <v>246</v>
      </c>
      <c r="B456" s="24" t="s">
        <v>274</v>
      </c>
      <c r="C456" s="26" t="s">
        <v>290</v>
      </c>
      <c r="D456" s="26">
        <v>460</v>
      </c>
      <c r="E456" s="27">
        <v>4000000</v>
      </c>
      <c r="F456" s="27">
        <v>1126000</v>
      </c>
      <c r="G456" s="25">
        <f t="shared" si="15"/>
        <v>5126000</v>
      </c>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row>
    <row r="457" spans="1:34" s="3" customFormat="1" ht="30.75">
      <c r="A457" s="61" t="s">
        <v>291</v>
      </c>
      <c r="B457" s="24" t="s">
        <v>274</v>
      </c>
      <c r="C457" s="26" t="s">
        <v>292</v>
      </c>
      <c r="D457" s="26"/>
      <c r="E457" s="27">
        <f>E461+E466+E458</f>
        <v>73368040</v>
      </c>
      <c r="F457" s="27">
        <f>F461+F466+F458</f>
        <v>8634260</v>
      </c>
      <c r="G457" s="25">
        <f t="shared" si="15"/>
        <v>82002300</v>
      </c>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row>
    <row r="458" spans="1:34" s="3" customFormat="1" ht="83.25" customHeight="1">
      <c r="A458" s="61" t="s">
        <v>614</v>
      </c>
      <c r="B458" s="24" t="s">
        <v>274</v>
      </c>
      <c r="C458" s="26" t="s">
        <v>613</v>
      </c>
      <c r="D458" s="26"/>
      <c r="E458" s="27">
        <f>E459</f>
        <v>0</v>
      </c>
      <c r="F458" s="27">
        <f>F459</f>
        <v>614000</v>
      </c>
      <c r="G458" s="25">
        <f t="shared" si="15"/>
        <v>614000</v>
      </c>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row>
    <row r="459" spans="1:34" s="3" customFormat="1" ht="30.75">
      <c r="A459" s="31" t="s">
        <v>53</v>
      </c>
      <c r="B459" s="24" t="s">
        <v>274</v>
      </c>
      <c r="C459" s="26" t="s">
        <v>613</v>
      </c>
      <c r="D459" s="26">
        <v>600</v>
      </c>
      <c r="E459" s="27">
        <f>E460</f>
        <v>0</v>
      </c>
      <c r="F459" s="27">
        <f>F460</f>
        <v>614000</v>
      </c>
      <c r="G459" s="25">
        <f t="shared" si="15"/>
        <v>614000</v>
      </c>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row>
    <row r="460" spans="1:34" s="3" customFormat="1" ht="15">
      <c r="A460" s="31" t="s">
        <v>295</v>
      </c>
      <c r="B460" s="24" t="s">
        <v>274</v>
      </c>
      <c r="C460" s="26" t="s">
        <v>613</v>
      </c>
      <c r="D460" s="26">
        <v>620</v>
      </c>
      <c r="E460" s="27">
        <v>0</v>
      </c>
      <c r="F460" s="27">
        <v>614000</v>
      </c>
      <c r="G460" s="25">
        <f t="shared" si="15"/>
        <v>614000</v>
      </c>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row>
    <row r="461" spans="1:34" s="3" customFormat="1" ht="30.75">
      <c r="A461" s="61" t="s">
        <v>293</v>
      </c>
      <c r="B461" s="24" t="s">
        <v>274</v>
      </c>
      <c r="C461" s="26" t="s">
        <v>294</v>
      </c>
      <c r="D461" s="26"/>
      <c r="E461" s="27">
        <f>E464+E462</f>
        <v>71868040</v>
      </c>
      <c r="F461" s="27">
        <f>F464+F462</f>
        <v>8020260</v>
      </c>
      <c r="G461" s="25">
        <f t="shared" si="15"/>
        <v>79888300</v>
      </c>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row>
    <row r="462" spans="1:34" s="3" customFormat="1" ht="30.75">
      <c r="A462" s="28" t="s">
        <v>664</v>
      </c>
      <c r="B462" s="24" t="s">
        <v>274</v>
      </c>
      <c r="C462" s="26" t="s">
        <v>294</v>
      </c>
      <c r="D462" s="26">
        <v>200</v>
      </c>
      <c r="E462" s="27">
        <f>E463</f>
        <v>44368040</v>
      </c>
      <c r="F462" s="27">
        <f>F463</f>
        <v>7520260</v>
      </c>
      <c r="G462" s="25">
        <f t="shared" si="15"/>
        <v>51888300</v>
      </c>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row>
    <row r="463" spans="1:34" s="3" customFormat="1" ht="30.75">
      <c r="A463" s="28" t="s">
        <v>666</v>
      </c>
      <c r="B463" s="24" t="s">
        <v>274</v>
      </c>
      <c r="C463" s="26" t="s">
        <v>294</v>
      </c>
      <c r="D463" s="26">
        <v>240</v>
      </c>
      <c r="E463" s="27">
        <v>44368040</v>
      </c>
      <c r="F463" s="27">
        <v>7520260</v>
      </c>
      <c r="G463" s="25">
        <f t="shared" si="15"/>
        <v>51888300</v>
      </c>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row>
    <row r="464" spans="1:34" s="65" customFormat="1" ht="30.75">
      <c r="A464" s="31" t="s">
        <v>53</v>
      </c>
      <c r="B464" s="24" t="s">
        <v>274</v>
      </c>
      <c r="C464" s="26" t="s">
        <v>294</v>
      </c>
      <c r="D464" s="26">
        <v>600</v>
      </c>
      <c r="E464" s="27">
        <f>E465</f>
        <v>27500000</v>
      </c>
      <c r="F464" s="27">
        <f>F465</f>
        <v>500000</v>
      </c>
      <c r="G464" s="25">
        <f t="shared" si="15"/>
        <v>28000000</v>
      </c>
      <c r="H464" s="63"/>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row>
    <row r="465" spans="1:34" s="3" customFormat="1" ht="15">
      <c r="A465" s="31" t="s">
        <v>295</v>
      </c>
      <c r="B465" s="24" t="s">
        <v>274</v>
      </c>
      <c r="C465" s="26" t="s">
        <v>294</v>
      </c>
      <c r="D465" s="26">
        <v>620</v>
      </c>
      <c r="E465" s="27">
        <v>27500000</v>
      </c>
      <c r="F465" s="27">
        <v>500000</v>
      </c>
      <c r="G465" s="25">
        <f t="shared" si="15"/>
        <v>28000000</v>
      </c>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row>
    <row r="466" spans="1:34" s="3" customFormat="1" ht="30.75">
      <c r="A466" s="61" t="s">
        <v>296</v>
      </c>
      <c r="B466" s="24" t="s">
        <v>274</v>
      </c>
      <c r="C466" s="26" t="s">
        <v>297</v>
      </c>
      <c r="D466" s="26"/>
      <c r="E466" s="27">
        <f>E467</f>
        <v>1500000</v>
      </c>
      <c r="F466" s="27">
        <f>F467</f>
        <v>0</v>
      </c>
      <c r="G466" s="25">
        <f t="shared" si="15"/>
        <v>1500000</v>
      </c>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row>
    <row r="467" spans="1:34" s="3" customFormat="1" ht="30.75">
      <c r="A467" s="31" t="s">
        <v>53</v>
      </c>
      <c r="B467" s="24" t="s">
        <v>274</v>
      </c>
      <c r="C467" s="26" t="s">
        <v>297</v>
      </c>
      <c r="D467" s="26">
        <v>600</v>
      </c>
      <c r="E467" s="27">
        <f>E468</f>
        <v>1500000</v>
      </c>
      <c r="F467" s="27">
        <f>F468</f>
        <v>0</v>
      </c>
      <c r="G467" s="25">
        <f t="shared" si="15"/>
        <v>1500000</v>
      </c>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row>
    <row r="468" spans="1:34" s="3" customFormat="1" ht="15">
      <c r="A468" s="31" t="s">
        <v>295</v>
      </c>
      <c r="B468" s="24" t="s">
        <v>274</v>
      </c>
      <c r="C468" s="26" t="s">
        <v>297</v>
      </c>
      <c r="D468" s="26">
        <v>620</v>
      </c>
      <c r="E468" s="27">
        <f>1000000+500000</f>
        <v>1500000</v>
      </c>
      <c r="F468" s="27">
        <v>0</v>
      </c>
      <c r="G468" s="25">
        <f t="shared" si="15"/>
        <v>1500000</v>
      </c>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row>
    <row r="469" spans="1:34" s="3" customFormat="1" ht="15">
      <c r="A469" s="61" t="s">
        <v>42</v>
      </c>
      <c r="B469" s="24" t="s">
        <v>274</v>
      </c>
      <c r="C469" s="26" t="s">
        <v>43</v>
      </c>
      <c r="D469" s="26"/>
      <c r="E469" s="27">
        <f aca="true" t="shared" si="17" ref="E469:F471">E470</f>
        <v>2500000</v>
      </c>
      <c r="F469" s="27">
        <f t="shared" si="17"/>
        <v>0</v>
      </c>
      <c r="G469" s="25">
        <f t="shared" si="15"/>
        <v>2500000</v>
      </c>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row>
    <row r="470" spans="1:34" s="16" customFormat="1" ht="30.75">
      <c r="A470" s="61" t="s">
        <v>298</v>
      </c>
      <c r="B470" s="24" t="s">
        <v>274</v>
      </c>
      <c r="C470" s="26" t="s">
        <v>299</v>
      </c>
      <c r="D470" s="26"/>
      <c r="E470" s="27">
        <f t="shared" si="17"/>
        <v>2500000</v>
      </c>
      <c r="F470" s="27">
        <f t="shared" si="17"/>
        <v>0</v>
      </c>
      <c r="G470" s="25">
        <f t="shared" si="15"/>
        <v>2500000</v>
      </c>
      <c r="H470" s="3"/>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row>
    <row r="471" spans="1:34" s="3" customFormat="1" ht="30.75">
      <c r="A471" s="28" t="s">
        <v>664</v>
      </c>
      <c r="B471" s="24" t="s">
        <v>274</v>
      </c>
      <c r="C471" s="26" t="s">
        <v>299</v>
      </c>
      <c r="D471" s="26">
        <v>200</v>
      </c>
      <c r="E471" s="27">
        <f t="shared" si="17"/>
        <v>2500000</v>
      </c>
      <c r="F471" s="27">
        <f t="shared" si="17"/>
        <v>0</v>
      </c>
      <c r="G471" s="25">
        <f t="shared" si="15"/>
        <v>2500000</v>
      </c>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row>
    <row r="472" spans="1:34" s="3" customFormat="1" ht="30.75">
      <c r="A472" s="28" t="s">
        <v>666</v>
      </c>
      <c r="B472" s="24" t="s">
        <v>274</v>
      </c>
      <c r="C472" s="26" t="s">
        <v>299</v>
      </c>
      <c r="D472" s="26">
        <v>240</v>
      </c>
      <c r="E472" s="49">
        <v>2500000</v>
      </c>
      <c r="F472" s="49">
        <v>0</v>
      </c>
      <c r="G472" s="25">
        <f t="shared" si="15"/>
        <v>2500000</v>
      </c>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row>
    <row r="473" spans="1:34" s="3" customFormat="1" ht="30.75">
      <c r="A473" s="28" t="s">
        <v>300</v>
      </c>
      <c r="B473" s="24" t="s">
        <v>274</v>
      </c>
      <c r="C473" s="26" t="s">
        <v>301</v>
      </c>
      <c r="D473" s="26"/>
      <c r="E473" s="49">
        <f>SUM(E480,E483,E477,E474)</f>
        <v>36175318.849999994</v>
      </c>
      <c r="F473" s="49">
        <f>SUM(F480,F483,F477,F474)</f>
        <v>-950796.52</v>
      </c>
      <c r="G473" s="25">
        <f t="shared" si="15"/>
        <v>35224522.32999999</v>
      </c>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row>
    <row r="474" spans="1:34" s="3" customFormat="1" ht="65.25" customHeight="1">
      <c r="A474" s="28" t="s">
        <v>302</v>
      </c>
      <c r="B474" s="33" t="s">
        <v>274</v>
      </c>
      <c r="C474" s="26" t="s">
        <v>303</v>
      </c>
      <c r="D474" s="26"/>
      <c r="E474" s="49">
        <f>E475</f>
        <v>2123173.69</v>
      </c>
      <c r="F474" s="49">
        <f>F475</f>
        <v>-950796.52</v>
      </c>
      <c r="G474" s="25">
        <f t="shared" si="15"/>
        <v>1172377.17</v>
      </c>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row>
    <row r="475" spans="1:34" s="3" customFormat="1" ht="30.75">
      <c r="A475" s="28" t="s">
        <v>664</v>
      </c>
      <c r="B475" s="33" t="s">
        <v>274</v>
      </c>
      <c r="C475" s="26" t="s">
        <v>303</v>
      </c>
      <c r="D475" s="26">
        <v>200</v>
      </c>
      <c r="E475" s="49">
        <f>E476</f>
        <v>2123173.69</v>
      </c>
      <c r="F475" s="49">
        <f>F476</f>
        <v>-950796.52</v>
      </c>
      <c r="G475" s="25">
        <f t="shared" si="15"/>
        <v>1172377.17</v>
      </c>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row>
    <row r="476" spans="1:34" s="3" customFormat="1" ht="30.75">
      <c r="A476" s="28" t="s">
        <v>666</v>
      </c>
      <c r="B476" s="33" t="s">
        <v>274</v>
      </c>
      <c r="C476" s="26" t="s">
        <v>303</v>
      </c>
      <c r="D476" s="26">
        <v>240</v>
      </c>
      <c r="E476" s="49">
        <v>2123173.69</v>
      </c>
      <c r="F476" s="49">
        <f>-721000-229796.52</f>
        <v>-950796.52</v>
      </c>
      <c r="G476" s="25">
        <f t="shared" si="15"/>
        <v>1172377.17</v>
      </c>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row>
    <row r="477" spans="1:34" s="3" customFormat="1" ht="65.25" customHeight="1">
      <c r="A477" s="28" t="s">
        <v>304</v>
      </c>
      <c r="B477" s="33" t="s">
        <v>274</v>
      </c>
      <c r="C477" s="26" t="s">
        <v>305</v>
      </c>
      <c r="D477" s="26"/>
      <c r="E477" s="49">
        <f>E478</f>
        <v>964366.17</v>
      </c>
      <c r="F477" s="49">
        <f>F478</f>
        <v>0</v>
      </c>
      <c r="G477" s="25">
        <f t="shared" si="15"/>
        <v>964366.17</v>
      </c>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row>
    <row r="478" spans="1:34" s="3" customFormat="1" ht="30.75">
      <c r="A478" s="35" t="s">
        <v>664</v>
      </c>
      <c r="B478" s="33" t="s">
        <v>274</v>
      </c>
      <c r="C478" s="26" t="s">
        <v>305</v>
      </c>
      <c r="D478" s="36">
        <v>200</v>
      </c>
      <c r="E478" s="49">
        <f>E479</f>
        <v>964366.17</v>
      </c>
      <c r="F478" s="49">
        <f>F479</f>
        <v>0</v>
      </c>
      <c r="G478" s="25">
        <f t="shared" si="15"/>
        <v>964366.17</v>
      </c>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row>
    <row r="479" spans="1:34" s="3" customFormat="1" ht="30.75">
      <c r="A479" s="35" t="s">
        <v>666</v>
      </c>
      <c r="B479" s="33" t="s">
        <v>274</v>
      </c>
      <c r="C479" s="26" t="s">
        <v>305</v>
      </c>
      <c r="D479" s="36">
        <v>240</v>
      </c>
      <c r="E479" s="49">
        <v>964366.17</v>
      </c>
      <c r="F479" s="49">
        <v>0</v>
      </c>
      <c r="G479" s="25">
        <f t="shared" si="15"/>
        <v>964366.17</v>
      </c>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row>
    <row r="480" spans="1:34" s="38" customFormat="1" ht="96" customHeight="1">
      <c r="A480" s="82" t="s">
        <v>306</v>
      </c>
      <c r="B480" s="33" t="s">
        <v>274</v>
      </c>
      <c r="C480" s="36" t="s">
        <v>307</v>
      </c>
      <c r="D480" s="36"/>
      <c r="E480" s="40">
        <f>E481</f>
        <v>27559775.38</v>
      </c>
      <c r="F480" s="40">
        <f>F481</f>
        <v>0</v>
      </c>
      <c r="G480" s="25">
        <f t="shared" si="15"/>
        <v>27559775.38</v>
      </c>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row>
    <row r="481" spans="1:34" s="38" customFormat="1" ht="30.75">
      <c r="A481" s="35" t="s">
        <v>664</v>
      </c>
      <c r="B481" s="33" t="s">
        <v>274</v>
      </c>
      <c r="C481" s="36" t="s">
        <v>307</v>
      </c>
      <c r="D481" s="36">
        <v>200</v>
      </c>
      <c r="E481" s="40">
        <f>E482</f>
        <v>27559775.38</v>
      </c>
      <c r="F481" s="40">
        <f>F482</f>
        <v>0</v>
      </c>
      <c r="G481" s="25">
        <f t="shared" si="15"/>
        <v>27559775.38</v>
      </c>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row>
    <row r="482" spans="1:34" s="38" customFormat="1" ht="30.75">
      <c r="A482" s="35" t="s">
        <v>666</v>
      </c>
      <c r="B482" s="33" t="s">
        <v>274</v>
      </c>
      <c r="C482" s="36" t="s">
        <v>307</v>
      </c>
      <c r="D482" s="36">
        <v>240</v>
      </c>
      <c r="E482" s="40">
        <v>27559775.38</v>
      </c>
      <c r="F482" s="40">
        <v>0</v>
      </c>
      <c r="G482" s="25">
        <f aca="true" t="shared" si="18" ref="G482:G548">SUM(E482:F482)</f>
        <v>27559775.38</v>
      </c>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row>
    <row r="483" spans="1:34" s="38" customFormat="1" ht="116.25" customHeight="1">
      <c r="A483" s="82" t="s">
        <v>308</v>
      </c>
      <c r="B483" s="33" t="s">
        <v>274</v>
      </c>
      <c r="C483" s="36" t="s">
        <v>309</v>
      </c>
      <c r="D483" s="36"/>
      <c r="E483" s="40">
        <f>E484</f>
        <v>5528003.61</v>
      </c>
      <c r="F483" s="40">
        <f>F484</f>
        <v>0</v>
      </c>
      <c r="G483" s="25">
        <f t="shared" si="18"/>
        <v>5528003.61</v>
      </c>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row>
    <row r="484" spans="1:34" s="38" customFormat="1" ht="30.75">
      <c r="A484" s="35" t="s">
        <v>664</v>
      </c>
      <c r="B484" s="33" t="s">
        <v>274</v>
      </c>
      <c r="C484" s="36" t="s">
        <v>309</v>
      </c>
      <c r="D484" s="36">
        <v>200</v>
      </c>
      <c r="E484" s="40">
        <f>E485</f>
        <v>5528003.61</v>
      </c>
      <c r="F484" s="40">
        <f>F485</f>
        <v>0</v>
      </c>
      <c r="G484" s="25">
        <f t="shared" si="18"/>
        <v>5528003.61</v>
      </c>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row>
    <row r="485" spans="1:34" s="38" customFormat="1" ht="30.75">
      <c r="A485" s="35" t="s">
        <v>666</v>
      </c>
      <c r="B485" s="33" t="s">
        <v>274</v>
      </c>
      <c r="C485" s="36" t="s">
        <v>309</v>
      </c>
      <c r="D485" s="36">
        <v>240</v>
      </c>
      <c r="E485" s="40">
        <v>5528003.61</v>
      </c>
      <c r="F485" s="40">
        <v>0</v>
      </c>
      <c r="G485" s="25">
        <f t="shared" si="18"/>
        <v>5528003.61</v>
      </c>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row>
    <row r="486" spans="1:34" s="3" customFormat="1" ht="15">
      <c r="A486" s="30" t="s">
        <v>674</v>
      </c>
      <c r="B486" s="87" t="s">
        <v>274</v>
      </c>
      <c r="C486" s="88" t="s">
        <v>675</v>
      </c>
      <c r="D486" s="88"/>
      <c r="E486" s="58">
        <f>SUM(E487,E491)</f>
        <v>5730206.79</v>
      </c>
      <c r="F486" s="58">
        <f>SUM(F487,F491)</f>
        <v>0</v>
      </c>
      <c r="G486" s="57">
        <f t="shared" si="18"/>
        <v>5730206.79</v>
      </c>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row>
    <row r="487" spans="1:34" s="3" customFormat="1" ht="30.75">
      <c r="A487" s="86" t="s">
        <v>19</v>
      </c>
      <c r="B487" s="87" t="s">
        <v>274</v>
      </c>
      <c r="C487" s="88" t="s">
        <v>20</v>
      </c>
      <c r="D487" s="88"/>
      <c r="E487" s="56">
        <f aca="true" t="shared" si="19" ref="E487:F489">E488</f>
        <v>5000000</v>
      </c>
      <c r="F487" s="56">
        <f t="shared" si="19"/>
        <v>0</v>
      </c>
      <c r="G487" s="57">
        <f t="shared" si="18"/>
        <v>5000000</v>
      </c>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row>
    <row r="488" spans="1:34" s="3" customFormat="1" ht="46.5">
      <c r="A488" s="86" t="s">
        <v>310</v>
      </c>
      <c r="B488" s="87" t="s">
        <v>274</v>
      </c>
      <c r="C488" s="88" t="s">
        <v>311</v>
      </c>
      <c r="D488" s="88"/>
      <c r="E488" s="58">
        <f t="shared" si="19"/>
        <v>5000000</v>
      </c>
      <c r="F488" s="58">
        <f t="shared" si="19"/>
        <v>0</v>
      </c>
      <c r="G488" s="57">
        <f t="shared" si="18"/>
        <v>5000000</v>
      </c>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row>
    <row r="489" spans="1:34" s="3" customFormat="1" ht="15">
      <c r="A489" s="90" t="s">
        <v>668</v>
      </c>
      <c r="B489" s="87" t="s">
        <v>274</v>
      </c>
      <c r="C489" s="88" t="s">
        <v>311</v>
      </c>
      <c r="D489" s="88">
        <v>800</v>
      </c>
      <c r="E489" s="56">
        <f t="shared" si="19"/>
        <v>5000000</v>
      </c>
      <c r="F489" s="58">
        <f t="shared" si="19"/>
        <v>0</v>
      </c>
      <c r="G489" s="57">
        <f t="shared" si="18"/>
        <v>5000000</v>
      </c>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row>
    <row r="490" spans="1:34" s="3" customFormat="1" ht="46.5">
      <c r="A490" s="86" t="s">
        <v>142</v>
      </c>
      <c r="B490" s="87" t="s">
        <v>274</v>
      </c>
      <c r="C490" s="88" t="s">
        <v>311</v>
      </c>
      <c r="D490" s="88">
        <v>810</v>
      </c>
      <c r="E490" s="56">
        <v>5000000</v>
      </c>
      <c r="F490" s="58">
        <v>0</v>
      </c>
      <c r="G490" s="57">
        <f t="shared" si="18"/>
        <v>5000000</v>
      </c>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row>
    <row r="491" spans="1:34" s="3" customFormat="1" ht="46.5">
      <c r="A491" s="31" t="s">
        <v>6</v>
      </c>
      <c r="B491" s="24" t="s">
        <v>274</v>
      </c>
      <c r="C491" s="26" t="s">
        <v>7</v>
      </c>
      <c r="D491" s="26"/>
      <c r="E491" s="27">
        <f aca="true" t="shared" si="20" ref="E491:F493">E492</f>
        <v>730206.79</v>
      </c>
      <c r="F491" s="27">
        <f t="shared" si="20"/>
        <v>0</v>
      </c>
      <c r="G491" s="25">
        <f t="shared" si="18"/>
        <v>730206.79</v>
      </c>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row>
    <row r="492" spans="1:34" s="38" customFormat="1" ht="46.5">
      <c r="A492" s="48" t="s">
        <v>312</v>
      </c>
      <c r="B492" s="33" t="s">
        <v>274</v>
      </c>
      <c r="C492" s="36" t="s">
        <v>313</v>
      </c>
      <c r="D492" s="36"/>
      <c r="E492" s="40">
        <f t="shared" si="20"/>
        <v>730206.79</v>
      </c>
      <c r="F492" s="40">
        <f t="shared" si="20"/>
        <v>0</v>
      </c>
      <c r="G492" s="25">
        <f t="shared" si="18"/>
        <v>730206.79</v>
      </c>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row>
    <row r="493" spans="1:34" s="44" customFormat="1" ht="30.75">
      <c r="A493" s="35" t="s">
        <v>664</v>
      </c>
      <c r="B493" s="33" t="s">
        <v>274</v>
      </c>
      <c r="C493" s="36" t="s">
        <v>313</v>
      </c>
      <c r="D493" s="36">
        <v>200</v>
      </c>
      <c r="E493" s="40">
        <f t="shared" si="20"/>
        <v>730206.79</v>
      </c>
      <c r="F493" s="40">
        <f t="shared" si="20"/>
        <v>0</v>
      </c>
      <c r="G493" s="25">
        <f t="shared" si="18"/>
        <v>730206.79</v>
      </c>
      <c r="H493" s="38"/>
      <c r="I493" s="43"/>
      <c r="J493" s="43"/>
      <c r="K493" s="43"/>
      <c r="L493" s="43"/>
      <c r="M493" s="43"/>
      <c r="N493" s="43"/>
      <c r="O493" s="43"/>
      <c r="P493" s="43"/>
      <c r="Q493" s="43"/>
      <c r="R493" s="43"/>
      <c r="S493" s="43"/>
      <c r="T493" s="43"/>
      <c r="U493" s="43"/>
      <c r="V493" s="43"/>
      <c r="W493" s="43"/>
      <c r="X493" s="43"/>
      <c r="Y493" s="43"/>
      <c r="Z493" s="43"/>
      <c r="AA493" s="43"/>
      <c r="AB493" s="43"/>
      <c r="AC493" s="43"/>
      <c r="AD493" s="43"/>
      <c r="AE493" s="43"/>
      <c r="AF493" s="43"/>
      <c r="AG493" s="43"/>
      <c r="AH493" s="43"/>
    </row>
    <row r="494" spans="1:34" s="44" customFormat="1" ht="30.75">
      <c r="A494" s="48" t="s">
        <v>666</v>
      </c>
      <c r="B494" s="33" t="s">
        <v>274</v>
      </c>
      <c r="C494" s="36" t="s">
        <v>313</v>
      </c>
      <c r="D494" s="36">
        <v>240</v>
      </c>
      <c r="E494" s="40">
        <v>730206.79</v>
      </c>
      <c r="F494" s="40">
        <v>0</v>
      </c>
      <c r="G494" s="25">
        <f t="shared" si="18"/>
        <v>730206.79</v>
      </c>
      <c r="H494" s="38"/>
      <c r="I494" s="43"/>
      <c r="J494" s="43"/>
      <c r="K494" s="43"/>
      <c r="L494" s="43"/>
      <c r="M494" s="43"/>
      <c r="N494" s="43"/>
      <c r="O494" s="43"/>
      <c r="P494" s="43"/>
      <c r="Q494" s="43"/>
      <c r="R494" s="43"/>
      <c r="S494" s="43"/>
      <c r="T494" s="43"/>
      <c r="U494" s="43"/>
      <c r="V494" s="43"/>
      <c r="W494" s="43"/>
      <c r="X494" s="43"/>
      <c r="Y494" s="43"/>
      <c r="Z494" s="43"/>
      <c r="AA494" s="43"/>
      <c r="AB494" s="43"/>
      <c r="AC494" s="43"/>
      <c r="AD494" s="43"/>
      <c r="AE494" s="43"/>
      <c r="AF494" s="43"/>
      <c r="AG494" s="43"/>
      <c r="AH494" s="43"/>
    </row>
    <row r="495" spans="1:34" s="3" customFormat="1" ht="32.25">
      <c r="A495" s="91" t="s">
        <v>314</v>
      </c>
      <c r="B495" s="21" t="s">
        <v>315</v>
      </c>
      <c r="C495" s="46"/>
      <c r="D495" s="46"/>
      <c r="E495" s="92">
        <f>E496</f>
        <v>42435564.39</v>
      </c>
      <c r="F495" s="92">
        <f>F496</f>
        <v>0</v>
      </c>
      <c r="G495" s="22">
        <f t="shared" si="18"/>
        <v>42435564.39</v>
      </c>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row>
    <row r="496" spans="1:34" s="3" customFormat="1" ht="30.75">
      <c r="A496" s="31" t="s">
        <v>247</v>
      </c>
      <c r="B496" s="24" t="s">
        <v>315</v>
      </c>
      <c r="C496" s="26" t="s">
        <v>50</v>
      </c>
      <c r="D496" s="24"/>
      <c r="E496" s="27">
        <f>E500+E497</f>
        <v>42435564.39</v>
      </c>
      <c r="F496" s="27">
        <f>F500+F497</f>
        <v>0</v>
      </c>
      <c r="G496" s="25">
        <f t="shared" si="18"/>
        <v>42435564.39</v>
      </c>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row>
    <row r="497" spans="1:34" s="3" customFormat="1" ht="15">
      <c r="A497" s="31" t="s">
        <v>316</v>
      </c>
      <c r="B497" s="33" t="s">
        <v>315</v>
      </c>
      <c r="C497" s="26" t="s">
        <v>317</v>
      </c>
      <c r="D497" s="24"/>
      <c r="E497" s="27">
        <f>E498</f>
        <v>2087128</v>
      </c>
      <c r="F497" s="27">
        <f>F498</f>
        <v>0</v>
      </c>
      <c r="G497" s="25">
        <f t="shared" si="18"/>
        <v>2087128</v>
      </c>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row>
    <row r="498" spans="1:34" s="3" customFormat="1" ht="30.75">
      <c r="A498" s="48" t="s">
        <v>169</v>
      </c>
      <c r="B498" s="33" t="s">
        <v>315</v>
      </c>
      <c r="C498" s="26" t="s">
        <v>317</v>
      </c>
      <c r="D498" s="36">
        <v>400</v>
      </c>
      <c r="E498" s="27">
        <f>E499</f>
        <v>2087128</v>
      </c>
      <c r="F498" s="27">
        <f>F499</f>
        <v>0</v>
      </c>
      <c r="G498" s="25">
        <f t="shared" si="18"/>
        <v>2087128</v>
      </c>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row>
    <row r="499" spans="1:34" s="3" customFormat="1" ht="15">
      <c r="A499" s="74" t="s">
        <v>170</v>
      </c>
      <c r="B499" s="33" t="s">
        <v>315</v>
      </c>
      <c r="C499" s="26" t="s">
        <v>317</v>
      </c>
      <c r="D499" s="36">
        <v>410</v>
      </c>
      <c r="E499" s="27">
        <v>2087128</v>
      </c>
      <c r="F499" s="27">
        <v>0</v>
      </c>
      <c r="G499" s="25">
        <f t="shared" si="18"/>
        <v>2087128</v>
      </c>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row>
    <row r="500" spans="1:34" s="38" customFormat="1" ht="78">
      <c r="A500" s="48" t="s">
        <v>318</v>
      </c>
      <c r="B500" s="33" t="s">
        <v>315</v>
      </c>
      <c r="C500" s="36" t="s">
        <v>319</v>
      </c>
      <c r="D500" s="36"/>
      <c r="E500" s="37">
        <f>E501</f>
        <v>40348436.39</v>
      </c>
      <c r="F500" s="37">
        <f>F501</f>
        <v>0</v>
      </c>
      <c r="G500" s="25">
        <f t="shared" si="18"/>
        <v>40348436.39</v>
      </c>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row>
    <row r="501" spans="1:34" s="38" customFormat="1" ht="30.75">
      <c r="A501" s="48" t="s">
        <v>169</v>
      </c>
      <c r="B501" s="33" t="s">
        <v>315</v>
      </c>
      <c r="C501" s="36" t="s">
        <v>319</v>
      </c>
      <c r="D501" s="36">
        <v>400</v>
      </c>
      <c r="E501" s="37">
        <f>E502</f>
        <v>40348436.39</v>
      </c>
      <c r="F501" s="37">
        <f>F502</f>
        <v>0</v>
      </c>
      <c r="G501" s="25">
        <f t="shared" si="18"/>
        <v>40348436.39</v>
      </c>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row>
    <row r="502" spans="1:34" s="42" customFormat="1" ht="15">
      <c r="A502" s="74" t="s">
        <v>170</v>
      </c>
      <c r="B502" s="33" t="s">
        <v>315</v>
      </c>
      <c r="C502" s="36" t="s">
        <v>319</v>
      </c>
      <c r="D502" s="36">
        <v>410</v>
      </c>
      <c r="E502" s="37">
        <f>38331014.57+2017421.82</f>
        <v>40348436.39</v>
      </c>
      <c r="F502" s="37">
        <v>0</v>
      </c>
      <c r="G502" s="25">
        <f t="shared" si="18"/>
        <v>40348436.39</v>
      </c>
      <c r="H502" s="38"/>
      <c r="I502" s="41"/>
      <c r="J502" s="41"/>
      <c r="K502" s="41"/>
      <c r="L502" s="41"/>
      <c r="M502" s="41"/>
      <c r="N502" s="41"/>
      <c r="O502" s="41"/>
      <c r="P502" s="41"/>
      <c r="Q502" s="41"/>
      <c r="R502" s="41"/>
      <c r="S502" s="41"/>
      <c r="T502" s="41"/>
      <c r="U502" s="41"/>
      <c r="V502" s="41"/>
      <c r="W502" s="41"/>
      <c r="X502" s="41"/>
      <c r="Y502" s="41"/>
      <c r="Z502" s="41"/>
      <c r="AA502" s="41"/>
      <c r="AB502" s="41"/>
      <c r="AC502" s="41"/>
      <c r="AD502" s="41"/>
      <c r="AE502" s="41"/>
      <c r="AF502" s="41"/>
      <c r="AG502" s="41"/>
      <c r="AH502" s="41"/>
    </row>
    <row r="503" spans="1:34" s="3" customFormat="1" ht="15">
      <c r="A503" s="17" t="s">
        <v>320</v>
      </c>
      <c r="B503" s="18" t="s">
        <v>321</v>
      </c>
      <c r="C503" s="59"/>
      <c r="D503" s="59"/>
      <c r="E503" s="66">
        <f>SUM(E504,E539,E572,E594,E615)</f>
        <v>2656853864.88</v>
      </c>
      <c r="F503" s="66">
        <f>SUM(F504,F539,F572,F594,F615)</f>
        <v>94105868.1</v>
      </c>
      <c r="G503" s="19">
        <f t="shared" si="18"/>
        <v>2750959732.98</v>
      </c>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row>
    <row r="504" spans="1:34" s="16" customFormat="1" ht="15.75">
      <c r="A504" s="20" t="s">
        <v>322</v>
      </c>
      <c r="B504" s="21" t="s">
        <v>323</v>
      </c>
      <c r="C504" s="59"/>
      <c r="D504" s="59"/>
      <c r="E504" s="47">
        <f>E505+E534</f>
        <v>1288749710.26</v>
      </c>
      <c r="F504" s="47">
        <f>F505+F534</f>
        <v>62318986.18</v>
      </c>
      <c r="G504" s="22">
        <f t="shared" si="18"/>
        <v>1351068696.44</v>
      </c>
      <c r="H504" s="3"/>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row>
    <row r="505" spans="1:34" s="3" customFormat="1" ht="30.75">
      <c r="A505" s="31" t="s">
        <v>324</v>
      </c>
      <c r="B505" s="24" t="s">
        <v>323</v>
      </c>
      <c r="C505" s="26" t="s">
        <v>325</v>
      </c>
      <c r="D505" s="26"/>
      <c r="E505" s="27">
        <f>E506</f>
        <v>1287949710.26</v>
      </c>
      <c r="F505" s="27">
        <f>F506</f>
        <v>62318986.18</v>
      </c>
      <c r="G505" s="25">
        <f t="shared" si="18"/>
        <v>1350268696.44</v>
      </c>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row>
    <row r="506" spans="1:7" ht="30.75">
      <c r="A506" s="61" t="s">
        <v>326</v>
      </c>
      <c r="B506" s="24" t="s">
        <v>323</v>
      </c>
      <c r="C506" s="26" t="s">
        <v>327</v>
      </c>
      <c r="D506" s="26"/>
      <c r="E506" s="27">
        <f>SUM(E507,E513,E519,E528,E531,E516,E525,E522)</f>
        <v>1287949710.26</v>
      </c>
      <c r="F506" s="27">
        <f>SUM(F507,F513,F519,F528,F531,F516,F525,F522)</f>
        <v>62318986.18</v>
      </c>
      <c r="G506" s="25">
        <f t="shared" si="18"/>
        <v>1350268696.44</v>
      </c>
    </row>
    <row r="507" spans="1:7" ht="30.75">
      <c r="A507" s="93" t="s">
        <v>328</v>
      </c>
      <c r="B507" s="33" t="s">
        <v>323</v>
      </c>
      <c r="C507" s="36" t="s">
        <v>329</v>
      </c>
      <c r="D507" s="36"/>
      <c r="E507" s="37">
        <f>SUM(E508,E511)</f>
        <v>376609758</v>
      </c>
      <c r="F507" s="37">
        <f>SUM(F508,F511)</f>
        <v>0</v>
      </c>
      <c r="G507" s="25">
        <f t="shared" si="18"/>
        <v>376609758</v>
      </c>
    </row>
    <row r="508" spans="1:7" ht="30.75">
      <c r="A508" s="48" t="s">
        <v>53</v>
      </c>
      <c r="B508" s="33" t="s">
        <v>323</v>
      </c>
      <c r="C508" s="36" t="s">
        <v>329</v>
      </c>
      <c r="D508" s="36">
        <v>600</v>
      </c>
      <c r="E508" s="37">
        <f>SUM(E509:E510)</f>
        <v>370121085</v>
      </c>
      <c r="F508" s="37">
        <f>SUM(F509:F510)</f>
        <v>0</v>
      </c>
      <c r="G508" s="25">
        <f t="shared" si="18"/>
        <v>370121085</v>
      </c>
    </row>
    <row r="509" spans="1:7" ht="15">
      <c r="A509" s="48" t="s">
        <v>54</v>
      </c>
      <c r="B509" s="33" t="s">
        <v>323</v>
      </c>
      <c r="C509" s="36" t="s">
        <v>329</v>
      </c>
      <c r="D509" s="36">
        <v>610</v>
      </c>
      <c r="E509" s="40">
        <v>368938307</v>
      </c>
      <c r="F509" s="40">
        <v>0</v>
      </c>
      <c r="G509" s="25">
        <f t="shared" si="18"/>
        <v>368938307</v>
      </c>
    </row>
    <row r="510" spans="1:7" ht="30.75">
      <c r="A510" s="48" t="s">
        <v>63</v>
      </c>
      <c r="B510" s="33" t="s">
        <v>323</v>
      </c>
      <c r="C510" s="36" t="s">
        <v>329</v>
      </c>
      <c r="D510" s="36">
        <v>630</v>
      </c>
      <c r="E510" s="40">
        <v>1182778</v>
      </c>
      <c r="F510" s="40">
        <v>0</v>
      </c>
      <c r="G510" s="25">
        <f t="shared" si="18"/>
        <v>1182778</v>
      </c>
    </row>
    <row r="511" spans="1:7" ht="15">
      <c r="A511" s="48" t="s">
        <v>668</v>
      </c>
      <c r="B511" s="33" t="s">
        <v>323</v>
      </c>
      <c r="C511" s="36" t="s">
        <v>329</v>
      </c>
      <c r="D511" s="36">
        <v>800</v>
      </c>
      <c r="E511" s="40">
        <f>E512</f>
        <v>6488673</v>
      </c>
      <c r="F511" s="40">
        <f>F512</f>
        <v>0</v>
      </c>
      <c r="G511" s="25">
        <f t="shared" si="18"/>
        <v>6488673</v>
      </c>
    </row>
    <row r="512" spans="1:7" ht="46.5">
      <c r="A512" s="48" t="s">
        <v>142</v>
      </c>
      <c r="B512" s="33" t="s">
        <v>323</v>
      </c>
      <c r="C512" s="36" t="s">
        <v>329</v>
      </c>
      <c r="D512" s="36">
        <v>810</v>
      </c>
      <c r="E512" s="40">
        <v>6488673</v>
      </c>
      <c r="F512" s="40">
        <v>0</v>
      </c>
      <c r="G512" s="25">
        <f t="shared" si="18"/>
        <v>6488673</v>
      </c>
    </row>
    <row r="513" spans="1:7" ht="30.75">
      <c r="A513" s="93" t="s">
        <v>330</v>
      </c>
      <c r="B513" s="33" t="s">
        <v>323</v>
      </c>
      <c r="C513" s="36" t="s">
        <v>331</v>
      </c>
      <c r="D513" s="36"/>
      <c r="E513" s="37">
        <f>E514</f>
        <v>133427534</v>
      </c>
      <c r="F513" s="37">
        <f>F514</f>
        <v>7765666</v>
      </c>
      <c r="G513" s="25">
        <f t="shared" si="18"/>
        <v>141193200</v>
      </c>
    </row>
    <row r="514" spans="1:7" ht="30.75">
      <c r="A514" s="48" t="s">
        <v>53</v>
      </c>
      <c r="B514" s="33" t="s">
        <v>323</v>
      </c>
      <c r="C514" s="36" t="s">
        <v>331</v>
      </c>
      <c r="D514" s="36">
        <v>600</v>
      </c>
      <c r="E514" s="37">
        <f>E515</f>
        <v>133427534</v>
      </c>
      <c r="F514" s="37">
        <f>F515</f>
        <v>7765666</v>
      </c>
      <c r="G514" s="25">
        <f t="shared" si="18"/>
        <v>141193200</v>
      </c>
    </row>
    <row r="515" spans="1:7" ht="15">
      <c r="A515" s="48" t="s">
        <v>54</v>
      </c>
      <c r="B515" s="33" t="s">
        <v>323</v>
      </c>
      <c r="C515" s="36" t="s">
        <v>331</v>
      </c>
      <c r="D515" s="36">
        <v>610</v>
      </c>
      <c r="E515" s="37">
        <v>133427534</v>
      </c>
      <c r="F515" s="27">
        <v>7765666</v>
      </c>
      <c r="G515" s="25">
        <f t="shared" si="18"/>
        <v>141193200</v>
      </c>
    </row>
    <row r="516" spans="1:7" ht="78">
      <c r="A516" s="80" t="s">
        <v>332</v>
      </c>
      <c r="B516" s="33" t="s">
        <v>323</v>
      </c>
      <c r="C516" s="36" t="s">
        <v>333</v>
      </c>
      <c r="D516" s="36"/>
      <c r="E516" s="37">
        <f>E517</f>
        <v>120049318</v>
      </c>
      <c r="F516" s="27">
        <f>F517</f>
        <v>0</v>
      </c>
      <c r="G516" s="25">
        <f t="shared" si="18"/>
        <v>120049318</v>
      </c>
    </row>
    <row r="517" spans="1:7" ht="30.75">
      <c r="A517" s="48" t="s">
        <v>53</v>
      </c>
      <c r="B517" s="33" t="s">
        <v>323</v>
      </c>
      <c r="C517" s="36" t="s">
        <v>333</v>
      </c>
      <c r="D517" s="36">
        <v>600</v>
      </c>
      <c r="E517" s="37">
        <f>E518</f>
        <v>120049318</v>
      </c>
      <c r="F517" s="27">
        <f>F518</f>
        <v>0</v>
      </c>
      <c r="G517" s="25">
        <f t="shared" si="18"/>
        <v>120049318</v>
      </c>
    </row>
    <row r="518" spans="1:7" ht="15">
      <c r="A518" s="48" t="s">
        <v>54</v>
      </c>
      <c r="B518" s="33" t="s">
        <v>323</v>
      </c>
      <c r="C518" s="36" t="s">
        <v>333</v>
      </c>
      <c r="D518" s="36">
        <v>610</v>
      </c>
      <c r="E518" s="37">
        <v>120049318</v>
      </c>
      <c r="F518" s="27">
        <v>0</v>
      </c>
      <c r="G518" s="25">
        <f t="shared" si="18"/>
        <v>120049318</v>
      </c>
    </row>
    <row r="519" spans="1:7" ht="30.75">
      <c r="A519" s="61" t="s">
        <v>334</v>
      </c>
      <c r="B519" s="24" t="s">
        <v>323</v>
      </c>
      <c r="C519" s="26" t="s">
        <v>335</v>
      </c>
      <c r="D519" s="26"/>
      <c r="E519" s="27">
        <f>E520</f>
        <v>20000000</v>
      </c>
      <c r="F519" s="27">
        <f>F520</f>
        <v>12480000</v>
      </c>
      <c r="G519" s="25">
        <f t="shared" si="18"/>
        <v>32480000</v>
      </c>
    </row>
    <row r="520" spans="1:7" ht="30.75">
      <c r="A520" s="31" t="s">
        <v>53</v>
      </c>
      <c r="B520" s="24" t="s">
        <v>323</v>
      </c>
      <c r="C520" s="26" t="s">
        <v>335</v>
      </c>
      <c r="D520" s="26">
        <v>600</v>
      </c>
      <c r="E520" s="27">
        <f>E521</f>
        <v>20000000</v>
      </c>
      <c r="F520" s="27">
        <f>F521</f>
        <v>12480000</v>
      </c>
      <c r="G520" s="25">
        <f t="shared" si="18"/>
        <v>32480000</v>
      </c>
    </row>
    <row r="521" spans="1:7" ht="15">
      <c r="A521" s="31" t="s">
        <v>54</v>
      </c>
      <c r="B521" s="24" t="s">
        <v>323</v>
      </c>
      <c r="C521" s="26" t="s">
        <v>335</v>
      </c>
      <c r="D521" s="26">
        <v>610</v>
      </c>
      <c r="E521" s="27">
        <v>20000000</v>
      </c>
      <c r="F521" s="27">
        <v>12480000</v>
      </c>
      <c r="G521" s="25">
        <f t="shared" si="18"/>
        <v>32480000</v>
      </c>
    </row>
    <row r="522" spans="1:7" ht="32.25" customHeight="1">
      <c r="A522" s="31" t="s">
        <v>625</v>
      </c>
      <c r="B522" s="24" t="s">
        <v>323</v>
      </c>
      <c r="C522" s="26" t="s">
        <v>624</v>
      </c>
      <c r="D522" s="26"/>
      <c r="E522" s="27">
        <f>E523</f>
        <v>0</v>
      </c>
      <c r="F522" s="27">
        <f>F523</f>
        <v>41966800</v>
      </c>
      <c r="G522" s="25">
        <f t="shared" si="18"/>
        <v>41966800</v>
      </c>
    </row>
    <row r="523" spans="1:7" ht="30.75">
      <c r="A523" s="48" t="s">
        <v>169</v>
      </c>
      <c r="B523" s="24" t="s">
        <v>323</v>
      </c>
      <c r="C523" s="26" t="s">
        <v>624</v>
      </c>
      <c r="D523" s="36">
        <v>400</v>
      </c>
      <c r="E523" s="27">
        <f>E524</f>
        <v>0</v>
      </c>
      <c r="F523" s="27">
        <f>F524</f>
        <v>41966800</v>
      </c>
      <c r="G523" s="25">
        <f t="shared" si="18"/>
        <v>41966800</v>
      </c>
    </row>
    <row r="524" spans="1:7" ht="15">
      <c r="A524" s="48" t="s">
        <v>170</v>
      </c>
      <c r="B524" s="24" t="s">
        <v>323</v>
      </c>
      <c r="C524" s="26" t="s">
        <v>624</v>
      </c>
      <c r="D524" s="36">
        <v>410</v>
      </c>
      <c r="E524" s="27">
        <v>0</v>
      </c>
      <c r="F524" s="27">
        <v>41966800</v>
      </c>
      <c r="G524" s="25">
        <f t="shared" si="18"/>
        <v>41966800</v>
      </c>
    </row>
    <row r="525" spans="1:7" ht="34.5" customHeight="1">
      <c r="A525" s="31" t="s">
        <v>618</v>
      </c>
      <c r="B525" s="24" t="s">
        <v>323</v>
      </c>
      <c r="C525" s="26" t="s">
        <v>617</v>
      </c>
      <c r="D525" s="26"/>
      <c r="E525" s="27">
        <f>E526</f>
        <v>0</v>
      </c>
      <c r="F525" s="27">
        <f>F526</f>
        <v>106520.18</v>
      </c>
      <c r="G525" s="25">
        <f t="shared" si="18"/>
        <v>106520.18</v>
      </c>
    </row>
    <row r="526" spans="1:7" ht="30.75">
      <c r="A526" s="48" t="s">
        <v>169</v>
      </c>
      <c r="B526" s="24" t="s">
        <v>323</v>
      </c>
      <c r="C526" s="26" t="s">
        <v>617</v>
      </c>
      <c r="D526" s="36">
        <v>400</v>
      </c>
      <c r="E526" s="27">
        <f>E527</f>
        <v>0</v>
      </c>
      <c r="F526" s="27">
        <f>F527</f>
        <v>106520.18</v>
      </c>
      <c r="G526" s="25">
        <f t="shared" si="18"/>
        <v>106520.18</v>
      </c>
    </row>
    <row r="527" spans="1:7" ht="15">
      <c r="A527" s="48" t="s">
        <v>170</v>
      </c>
      <c r="B527" s="24" t="s">
        <v>323</v>
      </c>
      <c r="C527" s="26" t="s">
        <v>617</v>
      </c>
      <c r="D527" s="36">
        <v>410</v>
      </c>
      <c r="E527" s="27">
        <v>0</v>
      </c>
      <c r="F527" s="27">
        <v>106520.18</v>
      </c>
      <c r="G527" s="25">
        <f t="shared" si="18"/>
        <v>106520.18</v>
      </c>
    </row>
    <row r="528" spans="1:34" s="44" customFormat="1" ht="100.5" customHeight="1">
      <c r="A528" s="80" t="s">
        <v>634</v>
      </c>
      <c r="B528" s="33" t="s">
        <v>323</v>
      </c>
      <c r="C528" s="36" t="s">
        <v>336</v>
      </c>
      <c r="D528" s="36"/>
      <c r="E528" s="37">
        <f>E529</f>
        <v>294098955.81</v>
      </c>
      <c r="F528" s="37">
        <f>F529</f>
        <v>0</v>
      </c>
      <c r="G528" s="25">
        <f t="shared" si="18"/>
        <v>294098955.81</v>
      </c>
      <c r="H528" s="38"/>
      <c r="I528" s="43"/>
      <c r="J528" s="43"/>
      <c r="K528" s="43"/>
      <c r="L528" s="43"/>
      <c r="M528" s="43"/>
      <c r="N528" s="43"/>
      <c r="O528" s="43"/>
      <c r="P528" s="43"/>
      <c r="Q528" s="43"/>
      <c r="R528" s="43"/>
      <c r="S528" s="43"/>
      <c r="T528" s="43"/>
      <c r="U528" s="43"/>
      <c r="V528" s="43"/>
      <c r="W528" s="43"/>
      <c r="X528" s="43"/>
      <c r="Y528" s="43"/>
      <c r="Z528" s="43"/>
      <c r="AA528" s="43"/>
      <c r="AB528" s="43"/>
      <c r="AC528" s="43"/>
      <c r="AD528" s="43"/>
      <c r="AE528" s="43"/>
      <c r="AF528" s="43"/>
      <c r="AG528" s="43"/>
      <c r="AH528" s="43"/>
    </row>
    <row r="529" spans="1:34" s="44" customFormat="1" ht="30.75">
      <c r="A529" s="48" t="s">
        <v>169</v>
      </c>
      <c r="B529" s="33" t="s">
        <v>323</v>
      </c>
      <c r="C529" s="36" t="s">
        <v>336</v>
      </c>
      <c r="D529" s="36">
        <v>400</v>
      </c>
      <c r="E529" s="37">
        <f>E530</f>
        <v>294098955.81</v>
      </c>
      <c r="F529" s="37">
        <f>F530</f>
        <v>0</v>
      </c>
      <c r="G529" s="25">
        <f t="shared" si="18"/>
        <v>294098955.81</v>
      </c>
      <c r="H529" s="38"/>
      <c r="I529" s="43"/>
      <c r="J529" s="43"/>
      <c r="K529" s="43"/>
      <c r="L529" s="43"/>
      <c r="M529" s="43"/>
      <c r="N529" s="43"/>
      <c r="O529" s="43"/>
      <c r="P529" s="43"/>
      <c r="Q529" s="43"/>
      <c r="R529" s="43"/>
      <c r="S529" s="43"/>
      <c r="T529" s="43"/>
      <c r="U529" s="43"/>
      <c r="V529" s="43"/>
      <c r="W529" s="43"/>
      <c r="X529" s="43"/>
      <c r="Y529" s="43"/>
      <c r="Z529" s="43"/>
      <c r="AA529" s="43"/>
      <c r="AB529" s="43"/>
      <c r="AC529" s="43"/>
      <c r="AD529" s="43"/>
      <c r="AE529" s="43"/>
      <c r="AF529" s="43"/>
      <c r="AG529" s="43"/>
      <c r="AH529" s="43"/>
    </row>
    <row r="530" spans="1:34" s="44" customFormat="1" ht="15">
      <c r="A530" s="48" t="s">
        <v>170</v>
      </c>
      <c r="B530" s="33" t="s">
        <v>323</v>
      </c>
      <c r="C530" s="36" t="s">
        <v>336</v>
      </c>
      <c r="D530" s="36">
        <v>410</v>
      </c>
      <c r="E530" s="37">
        <v>294098955.81</v>
      </c>
      <c r="F530" s="27">
        <v>0</v>
      </c>
      <c r="G530" s="25">
        <f t="shared" si="18"/>
        <v>294098955.81</v>
      </c>
      <c r="H530" s="38"/>
      <c r="I530" s="43"/>
      <c r="J530" s="43"/>
      <c r="K530" s="43"/>
      <c r="L530" s="43"/>
      <c r="M530" s="43"/>
      <c r="N530" s="43"/>
      <c r="O530" s="43"/>
      <c r="P530" s="43"/>
      <c r="Q530" s="43"/>
      <c r="R530" s="43"/>
      <c r="S530" s="43"/>
      <c r="T530" s="43"/>
      <c r="U530" s="43"/>
      <c r="V530" s="43"/>
      <c r="W530" s="43"/>
      <c r="X530" s="43"/>
      <c r="Y530" s="43"/>
      <c r="Z530" s="43"/>
      <c r="AA530" s="43"/>
      <c r="AB530" s="43"/>
      <c r="AC530" s="43"/>
      <c r="AD530" s="43"/>
      <c r="AE530" s="43"/>
      <c r="AF530" s="43"/>
      <c r="AG530" s="43"/>
      <c r="AH530" s="43"/>
    </row>
    <row r="531" spans="1:34" s="44" customFormat="1" ht="97.5" customHeight="1">
      <c r="A531" s="80" t="s">
        <v>635</v>
      </c>
      <c r="B531" s="33" t="s">
        <v>323</v>
      </c>
      <c r="C531" s="36" t="s">
        <v>337</v>
      </c>
      <c r="D531" s="36"/>
      <c r="E531" s="37">
        <f>E532</f>
        <v>343764144.45</v>
      </c>
      <c r="F531" s="37">
        <f>F532</f>
        <v>0</v>
      </c>
      <c r="G531" s="25">
        <f t="shared" si="18"/>
        <v>343764144.45</v>
      </c>
      <c r="H531" s="38"/>
      <c r="I531" s="43"/>
      <c r="J531" s="43"/>
      <c r="K531" s="43"/>
      <c r="L531" s="43"/>
      <c r="M531" s="43"/>
      <c r="N531" s="43"/>
      <c r="O531" s="43"/>
      <c r="P531" s="43"/>
      <c r="Q531" s="43"/>
      <c r="R531" s="43"/>
      <c r="S531" s="43"/>
      <c r="T531" s="43"/>
      <c r="U531" s="43"/>
      <c r="V531" s="43"/>
      <c r="W531" s="43"/>
      <c r="X531" s="43"/>
      <c r="Y531" s="43"/>
      <c r="Z531" s="43"/>
      <c r="AA531" s="43"/>
      <c r="AB531" s="43"/>
      <c r="AC531" s="43"/>
      <c r="AD531" s="43"/>
      <c r="AE531" s="43"/>
      <c r="AF531" s="43"/>
      <c r="AG531" s="43"/>
      <c r="AH531" s="43"/>
    </row>
    <row r="532" spans="1:34" s="44" customFormat="1" ht="30.75">
      <c r="A532" s="48" t="s">
        <v>169</v>
      </c>
      <c r="B532" s="33" t="s">
        <v>323</v>
      </c>
      <c r="C532" s="36" t="s">
        <v>337</v>
      </c>
      <c r="D532" s="36">
        <v>400</v>
      </c>
      <c r="E532" s="37">
        <f>E533</f>
        <v>343764144.45</v>
      </c>
      <c r="F532" s="37">
        <f>F533</f>
        <v>0</v>
      </c>
      <c r="G532" s="25">
        <f t="shared" si="18"/>
        <v>343764144.45</v>
      </c>
      <c r="H532" s="38"/>
      <c r="I532" s="43"/>
      <c r="J532" s="43"/>
      <c r="K532" s="43"/>
      <c r="L532" s="43"/>
      <c r="M532" s="43"/>
      <c r="N532" s="43"/>
      <c r="O532" s="43"/>
      <c r="P532" s="43"/>
      <c r="Q532" s="43"/>
      <c r="R532" s="43"/>
      <c r="S532" s="43"/>
      <c r="T532" s="43"/>
      <c r="U532" s="43"/>
      <c r="V532" s="43"/>
      <c r="W532" s="43"/>
      <c r="X532" s="43"/>
      <c r="Y532" s="43"/>
      <c r="Z532" s="43"/>
      <c r="AA532" s="43"/>
      <c r="AB532" s="43"/>
      <c r="AC532" s="43"/>
      <c r="AD532" s="43"/>
      <c r="AE532" s="43"/>
      <c r="AF532" s="43"/>
      <c r="AG532" s="43"/>
      <c r="AH532" s="43"/>
    </row>
    <row r="533" spans="1:34" s="44" customFormat="1" ht="15">
      <c r="A533" s="48" t="s">
        <v>170</v>
      </c>
      <c r="B533" s="33" t="s">
        <v>323</v>
      </c>
      <c r="C533" s="36" t="s">
        <v>337</v>
      </c>
      <c r="D533" s="36">
        <v>410</v>
      </c>
      <c r="E533" s="37">
        <v>343764144.45</v>
      </c>
      <c r="F533" s="37">
        <v>0</v>
      </c>
      <c r="G533" s="25">
        <f t="shared" si="18"/>
        <v>343764144.45</v>
      </c>
      <c r="H533" s="38"/>
      <c r="I533" s="43"/>
      <c r="J533" s="43"/>
      <c r="K533" s="43"/>
      <c r="L533" s="43"/>
      <c r="M533" s="43"/>
      <c r="N533" s="43"/>
      <c r="O533" s="43"/>
      <c r="P533" s="43"/>
      <c r="Q533" s="43"/>
      <c r="R533" s="43"/>
      <c r="S533" s="43"/>
      <c r="T533" s="43"/>
      <c r="U533" s="43"/>
      <c r="V533" s="43"/>
      <c r="W533" s="43"/>
      <c r="X533" s="43"/>
      <c r="Y533" s="43"/>
      <c r="Z533" s="43"/>
      <c r="AA533" s="43"/>
      <c r="AB533" s="43"/>
      <c r="AC533" s="43"/>
      <c r="AD533" s="43"/>
      <c r="AE533" s="43"/>
      <c r="AF533" s="43"/>
      <c r="AG533" s="43"/>
      <c r="AH533" s="43"/>
    </row>
    <row r="534" spans="1:34" s="44" customFormat="1" ht="30.75">
      <c r="A534" s="31" t="s">
        <v>55</v>
      </c>
      <c r="B534" s="24" t="s">
        <v>323</v>
      </c>
      <c r="C534" s="26" t="s">
        <v>56</v>
      </c>
      <c r="D534" s="26"/>
      <c r="E534" s="27">
        <f>SUM(E535)</f>
        <v>800000</v>
      </c>
      <c r="F534" s="27">
        <f>SUM(F535)</f>
        <v>0</v>
      </c>
      <c r="G534" s="25">
        <f t="shared" si="18"/>
        <v>800000</v>
      </c>
      <c r="H534" s="38"/>
      <c r="I534" s="43"/>
      <c r="J534" s="43"/>
      <c r="K534" s="43"/>
      <c r="L534" s="43"/>
      <c r="M534" s="43"/>
      <c r="N534" s="43"/>
      <c r="O534" s="43"/>
      <c r="P534" s="43"/>
      <c r="Q534" s="43"/>
      <c r="R534" s="43"/>
      <c r="S534" s="43"/>
      <c r="T534" s="43"/>
      <c r="U534" s="43"/>
      <c r="V534" s="43"/>
      <c r="W534" s="43"/>
      <c r="X534" s="43"/>
      <c r="Y534" s="43"/>
      <c r="Z534" s="43"/>
      <c r="AA534" s="43"/>
      <c r="AB534" s="43"/>
      <c r="AC534" s="43"/>
      <c r="AD534" s="43"/>
      <c r="AE534" s="43"/>
      <c r="AF534" s="43"/>
      <c r="AG534" s="43"/>
      <c r="AH534" s="43"/>
    </row>
    <row r="535" spans="1:34" s="44" customFormat="1" ht="46.5">
      <c r="A535" s="61" t="s">
        <v>57</v>
      </c>
      <c r="B535" s="24" t="s">
        <v>323</v>
      </c>
      <c r="C535" s="26" t="s">
        <v>58</v>
      </c>
      <c r="D535" s="26"/>
      <c r="E535" s="27">
        <f aca="true" t="shared" si="21" ref="E535:F537">E536</f>
        <v>800000</v>
      </c>
      <c r="F535" s="27">
        <f t="shared" si="21"/>
        <v>0</v>
      </c>
      <c r="G535" s="25">
        <f t="shared" si="18"/>
        <v>800000</v>
      </c>
      <c r="H535" s="38"/>
      <c r="I535" s="43"/>
      <c r="J535" s="43"/>
      <c r="K535" s="43"/>
      <c r="L535" s="43"/>
      <c r="M535" s="43"/>
      <c r="N535" s="43"/>
      <c r="O535" s="43"/>
      <c r="P535" s="43"/>
      <c r="Q535" s="43"/>
      <c r="R535" s="43"/>
      <c r="S535" s="43"/>
      <c r="T535" s="43"/>
      <c r="U535" s="43"/>
      <c r="V535" s="43"/>
      <c r="W535" s="43"/>
      <c r="X535" s="43"/>
      <c r="Y535" s="43"/>
      <c r="Z535" s="43"/>
      <c r="AA535" s="43"/>
      <c r="AB535" s="43"/>
      <c r="AC535" s="43"/>
      <c r="AD535" s="43"/>
      <c r="AE535" s="43"/>
      <c r="AF535" s="43"/>
      <c r="AG535" s="43"/>
      <c r="AH535" s="43"/>
    </row>
    <row r="536" spans="1:34" s="44" customFormat="1" ht="30.75">
      <c r="A536" s="61" t="s">
        <v>338</v>
      </c>
      <c r="B536" s="24" t="s">
        <v>323</v>
      </c>
      <c r="C536" s="26" t="s">
        <v>339</v>
      </c>
      <c r="D536" s="26"/>
      <c r="E536" s="27">
        <f t="shared" si="21"/>
        <v>800000</v>
      </c>
      <c r="F536" s="27">
        <f t="shared" si="21"/>
        <v>0</v>
      </c>
      <c r="G536" s="25">
        <f t="shared" si="18"/>
        <v>800000</v>
      </c>
      <c r="H536" s="38"/>
      <c r="I536" s="43"/>
      <c r="J536" s="43"/>
      <c r="K536" s="43"/>
      <c r="L536" s="43"/>
      <c r="M536" s="43"/>
      <c r="N536" s="43"/>
      <c r="O536" s="43"/>
      <c r="P536" s="43"/>
      <c r="Q536" s="43"/>
      <c r="R536" s="43"/>
      <c r="S536" s="43"/>
      <c r="T536" s="43"/>
      <c r="U536" s="43"/>
      <c r="V536" s="43"/>
      <c r="W536" s="43"/>
      <c r="X536" s="43"/>
      <c r="Y536" s="43"/>
      <c r="Z536" s="43"/>
      <c r="AA536" s="43"/>
      <c r="AB536" s="43"/>
      <c r="AC536" s="43"/>
      <c r="AD536" s="43"/>
      <c r="AE536" s="43"/>
      <c r="AF536" s="43"/>
      <c r="AG536" s="43"/>
      <c r="AH536" s="43"/>
    </row>
    <row r="537" spans="1:34" s="44" customFormat="1" ht="30.75">
      <c r="A537" s="31" t="s">
        <v>53</v>
      </c>
      <c r="B537" s="24" t="s">
        <v>323</v>
      </c>
      <c r="C537" s="26" t="s">
        <v>339</v>
      </c>
      <c r="D537" s="26">
        <v>600</v>
      </c>
      <c r="E537" s="27">
        <f t="shared" si="21"/>
        <v>800000</v>
      </c>
      <c r="F537" s="27">
        <f t="shared" si="21"/>
        <v>0</v>
      </c>
      <c r="G537" s="25">
        <f t="shared" si="18"/>
        <v>800000</v>
      </c>
      <c r="H537" s="38"/>
      <c r="I537" s="43"/>
      <c r="J537" s="43"/>
      <c r="K537" s="43"/>
      <c r="L537" s="43"/>
      <c r="M537" s="43"/>
      <c r="N537" s="43"/>
      <c r="O537" s="43"/>
      <c r="P537" s="43"/>
      <c r="Q537" s="43"/>
      <c r="R537" s="43"/>
      <c r="S537" s="43"/>
      <c r="T537" s="43"/>
      <c r="U537" s="43"/>
      <c r="V537" s="43"/>
      <c r="W537" s="43"/>
      <c r="X537" s="43"/>
      <c r="Y537" s="43"/>
      <c r="Z537" s="43"/>
      <c r="AA537" s="43"/>
      <c r="AB537" s="43"/>
      <c r="AC537" s="43"/>
      <c r="AD537" s="43"/>
      <c r="AE537" s="43"/>
      <c r="AF537" s="43"/>
      <c r="AG537" s="43"/>
      <c r="AH537" s="43"/>
    </row>
    <row r="538" spans="1:34" s="44" customFormat="1" ht="15">
      <c r="A538" s="31" t="s">
        <v>54</v>
      </c>
      <c r="B538" s="24" t="s">
        <v>323</v>
      </c>
      <c r="C538" s="26" t="s">
        <v>339</v>
      </c>
      <c r="D538" s="26">
        <v>610</v>
      </c>
      <c r="E538" s="49">
        <v>800000</v>
      </c>
      <c r="F538" s="49">
        <v>0</v>
      </c>
      <c r="G538" s="25">
        <f t="shared" si="18"/>
        <v>800000</v>
      </c>
      <c r="H538" s="38"/>
      <c r="I538" s="43"/>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row>
    <row r="539" spans="1:34" s="44" customFormat="1" ht="15.75">
      <c r="A539" s="20" t="s">
        <v>340</v>
      </c>
      <c r="B539" s="21" t="s">
        <v>341</v>
      </c>
      <c r="C539" s="26"/>
      <c r="D539" s="26"/>
      <c r="E539" s="47">
        <f>SUM(E540)</f>
        <v>1066665710.62</v>
      </c>
      <c r="F539" s="47">
        <f>SUM(F540)</f>
        <v>26542173.84</v>
      </c>
      <c r="G539" s="22">
        <f t="shared" si="18"/>
        <v>1093207884.46</v>
      </c>
      <c r="H539" s="38"/>
      <c r="I539" s="43"/>
      <c r="J539" s="43"/>
      <c r="K539" s="43"/>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row>
    <row r="540" spans="1:34" s="44" customFormat="1" ht="30.75">
      <c r="A540" s="31" t="s">
        <v>324</v>
      </c>
      <c r="B540" s="24" t="s">
        <v>341</v>
      </c>
      <c r="C540" s="26" t="s">
        <v>325</v>
      </c>
      <c r="D540" s="26"/>
      <c r="E540" s="27">
        <f>SUM(E541,E564)</f>
        <v>1066665710.62</v>
      </c>
      <c r="F540" s="27">
        <f>SUM(F541,F564)</f>
        <v>26542173.84</v>
      </c>
      <c r="G540" s="25">
        <f t="shared" si="18"/>
        <v>1093207884.46</v>
      </c>
      <c r="H540" s="38"/>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row>
    <row r="541" spans="1:34" s="44" customFormat="1" ht="30.75">
      <c r="A541" s="61" t="s">
        <v>342</v>
      </c>
      <c r="B541" s="24" t="s">
        <v>341</v>
      </c>
      <c r="C541" s="26" t="s">
        <v>343</v>
      </c>
      <c r="D541" s="26"/>
      <c r="E541" s="27">
        <f>SUM(E542,E546,E549,E552,E558,E561,E555)</f>
        <v>972981785.78</v>
      </c>
      <c r="F541" s="27">
        <f>SUM(F542,F546,F549,F552,F558,F561,F555)</f>
        <v>19099999.84</v>
      </c>
      <c r="G541" s="25">
        <f t="shared" si="18"/>
        <v>992081785.62</v>
      </c>
      <c r="H541" s="38"/>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row>
    <row r="542" spans="1:34" s="44" customFormat="1" ht="30.75">
      <c r="A542" s="93" t="s">
        <v>344</v>
      </c>
      <c r="B542" s="33" t="s">
        <v>341</v>
      </c>
      <c r="C542" s="36" t="s">
        <v>345</v>
      </c>
      <c r="D542" s="36"/>
      <c r="E542" s="37">
        <f>E543</f>
        <v>720853768</v>
      </c>
      <c r="F542" s="37">
        <f>F543</f>
        <v>0</v>
      </c>
      <c r="G542" s="25">
        <f t="shared" si="18"/>
        <v>720853768</v>
      </c>
      <c r="H542" s="38"/>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row>
    <row r="543" spans="1:34" s="44" customFormat="1" ht="30.75">
      <c r="A543" s="48" t="s">
        <v>53</v>
      </c>
      <c r="B543" s="33" t="s">
        <v>341</v>
      </c>
      <c r="C543" s="36" t="s">
        <v>345</v>
      </c>
      <c r="D543" s="36">
        <v>600</v>
      </c>
      <c r="E543" s="37">
        <f>E544+E545</f>
        <v>720853768</v>
      </c>
      <c r="F543" s="37">
        <f>F544+F545</f>
        <v>0</v>
      </c>
      <c r="G543" s="25">
        <f t="shared" si="18"/>
        <v>720853768</v>
      </c>
      <c r="H543" s="38"/>
      <c r="I543" s="43"/>
      <c r="J543" s="43"/>
      <c r="K543" s="43"/>
      <c r="L543" s="43"/>
      <c r="M543" s="43"/>
      <c r="N543" s="43"/>
      <c r="O543" s="43"/>
      <c r="P543" s="43"/>
      <c r="Q543" s="43"/>
      <c r="R543" s="43"/>
      <c r="S543" s="43"/>
      <c r="T543" s="43"/>
      <c r="U543" s="43"/>
      <c r="V543" s="43"/>
      <c r="W543" s="43"/>
      <c r="X543" s="43"/>
      <c r="Y543" s="43"/>
      <c r="Z543" s="43"/>
      <c r="AA543" s="43"/>
      <c r="AB543" s="43"/>
      <c r="AC543" s="43"/>
      <c r="AD543" s="43"/>
      <c r="AE543" s="43"/>
      <c r="AF543" s="43"/>
      <c r="AG543" s="43"/>
      <c r="AH543" s="43"/>
    </row>
    <row r="544" spans="1:34" s="44" customFormat="1" ht="15">
      <c r="A544" s="48" t="s">
        <v>54</v>
      </c>
      <c r="B544" s="33" t="s">
        <v>341</v>
      </c>
      <c r="C544" s="36" t="s">
        <v>345</v>
      </c>
      <c r="D544" s="36">
        <v>610</v>
      </c>
      <c r="E544" s="40">
        <v>684831213</v>
      </c>
      <c r="F544" s="49">
        <v>0</v>
      </c>
      <c r="G544" s="25">
        <f t="shared" si="18"/>
        <v>684831213</v>
      </c>
      <c r="H544" s="38"/>
      <c r="I544" s="43"/>
      <c r="J544" s="43"/>
      <c r="K544" s="43"/>
      <c r="L544" s="43"/>
      <c r="M544" s="43"/>
      <c r="N544" s="43"/>
      <c r="O544" s="43"/>
      <c r="P544" s="43"/>
      <c r="Q544" s="43"/>
      <c r="R544" s="43"/>
      <c r="S544" s="43"/>
      <c r="T544" s="43"/>
      <c r="U544" s="43"/>
      <c r="V544" s="43"/>
      <c r="W544" s="43"/>
      <c r="X544" s="43"/>
      <c r="Y544" s="43"/>
      <c r="Z544" s="43"/>
      <c r="AA544" s="43"/>
      <c r="AB544" s="43"/>
      <c r="AC544" s="43"/>
      <c r="AD544" s="43"/>
      <c r="AE544" s="43"/>
      <c r="AF544" s="43"/>
      <c r="AG544" s="43"/>
      <c r="AH544" s="43"/>
    </row>
    <row r="545" spans="1:34" s="44" customFormat="1" ht="30.75">
      <c r="A545" s="48" t="s">
        <v>63</v>
      </c>
      <c r="B545" s="33" t="s">
        <v>341</v>
      </c>
      <c r="C545" s="36" t="s">
        <v>345</v>
      </c>
      <c r="D545" s="36">
        <v>630</v>
      </c>
      <c r="E545" s="40">
        <v>36022555</v>
      </c>
      <c r="F545" s="49">
        <v>0</v>
      </c>
      <c r="G545" s="25">
        <f t="shared" si="18"/>
        <v>36022555</v>
      </c>
      <c r="H545" s="38"/>
      <c r="I545" s="43"/>
      <c r="J545" s="43"/>
      <c r="K545" s="43"/>
      <c r="L545" s="43"/>
      <c r="M545" s="43"/>
      <c r="N545" s="43"/>
      <c r="O545" s="43"/>
      <c r="P545" s="43"/>
      <c r="Q545" s="43"/>
      <c r="R545" s="43"/>
      <c r="S545" s="43"/>
      <c r="T545" s="43"/>
      <c r="U545" s="43"/>
      <c r="V545" s="43"/>
      <c r="W545" s="43"/>
      <c r="X545" s="43"/>
      <c r="Y545" s="43"/>
      <c r="Z545" s="43"/>
      <c r="AA545" s="43"/>
      <c r="AB545" s="43"/>
      <c r="AC545" s="43"/>
      <c r="AD545" s="43"/>
      <c r="AE545" s="43"/>
      <c r="AF545" s="43"/>
      <c r="AG545" s="43"/>
      <c r="AH545" s="43"/>
    </row>
    <row r="546" spans="1:34" s="44" customFormat="1" ht="30.75">
      <c r="A546" s="93" t="s">
        <v>346</v>
      </c>
      <c r="B546" s="33" t="s">
        <v>341</v>
      </c>
      <c r="C546" s="36" t="s">
        <v>347</v>
      </c>
      <c r="D546" s="36"/>
      <c r="E546" s="40">
        <f>E547</f>
        <v>2174472</v>
      </c>
      <c r="F546" s="40">
        <f>F547</f>
        <v>0</v>
      </c>
      <c r="G546" s="25">
        <f t="shared" si="18"/>
        <v>2174472</v>
      </c>
      <c r="H546" s="38"/>
      <c r="I546" s="43"/>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row>
    <row r="547" spans="1:34" s="44" customFormat="1" ht="30.75">
      <c r="A547" s="48" t="s">
        <v>53</v>
      </c>
      <c r="B547" s="33" t="s">
        <v>341</v>
      </c>
      <c r="C547" s="36" t="s">
        <v>347</v>
      </c>
      <c r="D547" s="36">
        <v>600</v>
      </c>
      <c r="E547" s="40">
        <f>E548</f>
        <v>2174472</v>
      </c>
      <c r="F547" s="40">
        <f>F548</f>
        <v>0</v>
      </c>
      <c r="G547" s="25">
        <f t="shared" si="18"/>
        <v>2174472</v>
      </c>
      <c r="H547" s="38"/>
      <c r="I547" s="43"/>
      <c r="J547" s="43"/>
      <c r="K547" s="43"/>
      <c r="L547" s="43"/>
      <c r="M547" s="43"/>
      <c r="N547" s="43"/>
      <c r="O547" s="43"/>
      <c r="P547" s="43"/>
      <c r="Q547" s="43"/>
      <c r="R547" s="43"/>
      <c r="S547" s="43"/>
      <c r="T547" s="43"/>
      <c r="U547" s="43"/>
      <c r="V547" s="43"/>
      <c r="W547" s="43"/>
      <c r="X547" s="43"/>
      <c r="Y547" s="43"/>
      <c r="Z547" s="43"/>
      <c r="AA547" s="43"/>
      <c r="AB547" s="43"/>
      <c r="AC547" s="43"/>
      <c r="AD547" s="43"/>
      <c r="AE547" s="43"/>
      <c r="AF547" s="43"/>
      <c r="AG547" s="43"/>
      <c r="AH547" s="43"/>
    </row>
    <row r="548" spans="1:34" s="44" customFormat="1" ht="15">
      <c r="A548" s="48" t="s">
        <v>54</v>
      </c>
      <c r="B548" s="33" t="s">
        <v>341</v>
      </c>
      <c r="C548" s="36" t="s">
        <v>347</v>
      </c>
      <c r="D548" s="36">
        <v>610</v>
      </c>
      <c r="E548" s="40">
        <v>2174472</v>
      </c>
      <c r="F548" s="40">
        <v>0</v>
      </c>
      <c r="G548" s="25">
        <f t="shared" si="18"/>
        <v>2174472</v>
      </c>
      <c r="H548" s="38"/>
      <c r="I548" s="43"/>
      <c r="J548" s="43"/>
      <c r="K548" s="43"/>
      <c r="L548" s="43"/>
      <c r="M548" s="43"/>
      <c r="N548" s="43"/>
      <c r="O548" s="43"/>
      <c r="P548" s="43"/>
      <c r="Q548" s="43"/>
      <c r="R548" s="43"/>
      <c r="S548" s="43"/>
      <c r="T548" s="43"/>
      <c r="U548" s="43"/>
      <c r="V548" s="43"/>
      <c r="W548" s="43"/>
      <c r="X548" s="43"/>
      <c r="Y548" s="43"/>
      <c r="Z548" s="43"/>
      <c r="AA548" s="43"/>
      <c r="AB548" s="43"/>
      <c r="AC548" s="43"/>
      <c r="AD548" s="43"/>
      <c r="AE548" s="43"/>
      <c r="AF548" s="43"/>
      <c r="AG548" s="43"/>
      <c r="AH548" s="43"/>
    </row>
    <row r="549" spans="1:34" s="44" customFormat="1" ht="30.75">
      <c r="A549" s="93" t="s">
        <v>348</v>
      </c>
      <c r="B549" s="33" t="s">
        <v>341</v>
      </c>
      <c r="C549" s="36" t="s">
        <v>349</v>
      </c>
      <c r="D549" s="36"/>
      <c r="E549" s="37">
        <f>E550</f>
        <v>170600000</v>
      </c>
      <c r="F549" s="37">
        <f>F550</f>
        <v>18805000</v>
      </c>
      <c r="G549" s="25">
        <f aca="true" t="shared" si="22" ref="G549:G615">SUM(E549:F549)</f>
        <v>189405000</v>
      </c>
      <c r="H549" s="38"/>
      <c r="I549" s="43"/>
      <c r="J549" s="43"/>
      <c r="K549" s="43"/>
      <c r="L549" s="43"/>
      <c r="M549" s="43"/>
      <c r="N549" s="43"/>
      <c r="O549" s="43"/>
      <c r="P549" s="43"/>
      <c r="Q549" s="43"/>
      <c r="R549" s="43"/>
      <c r="S549" s="43"/>
      <c r="T549" s="43"/>
      <c r="U549" s="43"/>
      <c r="V549" s="43"/>
      <c r="W549" s="43"/>
      <c r="X549" s="43"/>
      <c r="Y549" s="43"/>
      <c r="Z549" s="43"/>
      <c r="AA549" s="43"/>
      <c r="AB549" s="43"/>
      <c r="AC549" s="43"/>
      <c r="AD549" s="43"/>
      <c r="AE549" s="43"/>
      <c r="AF549" s="43"/>
      <c r="AG549" s="43"/>
      <c r="AH549" s="43"/>
    </row>
    <row r="550" spans="1:34" s="44" customFormat="1" ht="30.75">
      <c r="A550" s="48" t="s">
        <v>53</v>
      </c>
      <c r="B550" s="33" t="s">
        <v>341</v>
      </c>
      <c r="C550" s="36" t="s">
        <v>349</v>
      </c>
      <c r="D550" s="36">
        <v>600</v>
      </c>
      <c r="E550" s="37">
        <f>E551</f>
        <v>170600000</v>
      </c>
      <c r="F550" s="37">
        <f>F551</f>
        <v>18805000</v>
      </c>
      <c r="G550" s="25">
        <f t="shared" si="22"/>
        <v>189405000</v>
      </c>
      <c r="H550" s="38"/>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row>
    <row r="551" spans="1:34" s="44" customFormat="1" ht="15">
      <c r="A551" s="48" t="s">
        <v>54</v>
      </c>
      <c r="B551" s="33" t="s">
        <v>341</v>
      </c>
      <c r="C551" s="36" t="s">
        <v>349</v>
      </c>
      <c r="D551" s="36">
        <v>610</v>
      </c>
      <c r="E551" s="37">
        <v>170600000</v>
      </c>
      <c r="F551" s="27">
        <f>105000-400000+19100000</f>
        <v>18805000</v>
      </c>
      <c r="G551" s="25">
        <f t="shared" si="22"/>
        <v>189405000</v>
      </c>
      <c r="H551" s="38"/>
      <c r="I551" s="43"/>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row>
    <row r="552" spans="1:34" s="44" customFormat="1" ht="30.75">
      <c r="A552" s="93" t="s">
        <v>350</v>
      </c>
      <c r="B552" s="33" t="s">
        <v>341</v>
      </c>
      <c r="C552" s="36" t="s">
        <v>351</v>
      </c>
      <c r="D552" s="36"/>
      <c r="E552" s="37">
        <f>E553</f>
        <v>35563322.62</v>
      </c>
      <c r="F552" s="27">
        <f>F553</f>
        <v>295000</v>
      </c>
      <c r="G552" s="25">
        <f t="shared" si="22"/>
        <v>35858322.62</v>
      </c>
      <c r="H552" s="38"/>
      <c r="I552" s="43"/>
      <c r="J552" s="43"/>
      <c r="K552" s="43"/>
      <c r="L552" s="43"/>
      <c r="M552" s="43"/>
      <c r="N552" s="43"/>
      <c r="O552" s="43"/>
      <c r="P552" s="43"/>
      <c r="Q552" s="43"/>
      <c r="R552" s="43"/>
      <c r="S552" s="43"/>
      <c r="T552" s="43"/>
      <c r="U552" s="43"/>
      <c r="V552" s="43"/>
      <c r="W552" s="43"/>
      <c r="X552" s="43"/>
      <c r="Y552" s="43"/>
      <c r="Z552" s="43"/>
      <c r="AA552" s="43"/>
      <c r="AB552" s="43"/>
      <c r="AC552" s="43"/>
      <c r="AD552" s="43"/>
      <c r="AE552" s="43"/>
      <c r="AF552" s="43"/>
      <c r="AG552" s="43"/>
      <c r="AH552" s="43"/>
    </row>
    <row r="553" spans="1:34" s="44" customFormat="1" ht="30.75">
      <c r="A553" s="48" t="s">
        <v>53</v>
      </c>
      <c r="B553" s="33" t="s">
        <v>341</v>
      </c>
      <c r="C553" s="36" t="s">
        <v>351</v>
      </c>
      <c r="D553" s="36">
        <v>600</v>
      </c>
      <c r="E553" s="37">
        <f>E554</f>
        <v>35563322.62</v>
      </c>
      <c r="F553" s="27">
        <f>F554</f>
        <v>295000</v>
      </c>
      <c r="G553" s="25">
        <f t="shared" si="22"/>
        <v>35858322.62</v>
      </c>
      <c r="H553" s="38"/>
      <c r="I553" s="43"/>
      <c r="J553" s="43"/>
      <c r="K553" s="43"/>
      <c r="L553" s="43"/>
      <c r="M553" s="43"/>
      <c r="N553" s="43"/>
      <c r="O553" s="43"/>
      <c r="P553" s="43"/>
      <c r="Q553" s="43"/>
      <c r="R553" s="43"/>
      <c r="S553" s="43"/>
      <c r="T553" s="43"/>
      <c r="U553" s="43"/>
      <c r="V553" s="43"/>
      <c r="W553" s="43"/>
      <c r="X553" s="43"/>
      <c r="Y553" s="43"/>
      <c r="Z553" s="43"/>
      <c r="AA553" s="43"/>
      <c r="AB553" s="43"/>
      <c r="AC553" s="43"/>
      <c r="AD553" s="43"/>
      <c r="AE553" s="43"/>
      <c r="AF553" s="43"/>
      <c r="AG553" s="43"/>
      <c r="AH553" s="43"/>
    </row>
    <row r="554" spans="1:34" s="44" customFormat="1" ht="15">
      <c r="A554" s="48" t="s">
        <v>54</v>
      </c>
      <c r="B554" s="33" t="s">
        <v>341</v>
      </c>
      <c r="C554" s="36" t="s">
        <v>351</v>
      </c>
      <c r="D554" s="36">
        <v>610</v>
      </c>
      <c r="E554" s="37">
        <v>35563322.62</v>
      </c>
      <c r="F554" s="27">
        <f>-105000+400000</f>
        <v>295000</v>
      </c>
      <c r="G554" s="25">
        <f t="shared" si="22"/>
        <v>35858322.62</v>
      </c>
      <c r="H554" s="38"/>
      <c r="I554" s="43"/>
      <c r="J554" s="43"/>
      <c r="K554" s="43"/>
      <c r="L554" s="43"/>
      <c r="M554" s="43"/>
      <c r="N554" s="43"/>
      <c r="O554" s="43"/>
      <c r="P554" s="43"/>
      <c r="Q554" s="43"/>
      <c r="R554" s="43"/>
      <c r="S554" s="43"/>
      <c r="T554" s="43"/>
      <c r="U554" s="43"/>
      <c r="V554" s="43"/>
      <c r="W554" s="43"/>
      <c r="X554" s="43"/>
      <c r="Y554" s="43"/>
      <c r="Z554" s="43"/>
      <c r="AA554" s="43"/>
      <c r="AB554" s="43"/>
      <c r="AC554" s="43"/>
      <c r="AD554" s="43"/>
      <c r="AE554" s="43"/>
      <c r="AF554" s="43"/>
      <c r="AG554" s="43"/>
      <c r="AH554" s="43"/>
    </row>
    <row r="555" spans="1:34" s="44" customFormat="1" ht="63.75" customHeight="1">
      <c r="A555" s="48" t="s">
        <v>352</v>
      </c>
      <c r="B555" s="33" t="s">
        <v>341</v>
      </c>
      <c r="C555" s="36" t="s">
        <v>353</v>
      </c>
      <c r="D555" s="36"/>
      <c r="E555" s="37">
        <f>E556</f>
        <v>2000000</v>
      </c>
      <c r="F555" s="37">
        <f>F556</f>
        <v>0</v>
      </c>
      <c r="G555" s="25">
        <f t="shared" si="22"/>
        <v>2000000</v>
      </c>
      <c r="H555" s="38"/>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row>
    <row r="556" spans="1:34" s="44" customFormat="1" ht="30.75">
      <c r="A556" s="48" t="s">
        <v>53</v>
      </c>
      <c r="B556" s="33" t="s">
        <v>341</v>
      </c>
      <c r="C556" s="36" t="s">
        <v>353</v>
      </c>
      <c r="D556" s="36">
        <v>600</v>
      </c>
      <c r="E556" s="37">
        <f>E557</f>
        <v>2000000</v>
      </c>
      <c r="F556" s="37">
        <f>F557</f>
        <v>0</v>
      </c>
      <c r="G556" s="25">
        <f t="shared" si="22"/>
        <v>2000000</v>
      </c>
      <c r="H556" s="38"/>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row>
    <row r="557" spans="1:34" s="44" customFormat="1" ht="15">
      <c r="A557" s="48" t="s">
        <v>54</v>
      </c>
      <c r="B557" s="33" t="s">
        <v>341</v>
      </c>
      <c r="C557" s="36" t="s">
        <v>353</v>
      </c>
      <c r="D557" s="36">
        <v>610</v>
      </c>
      <c r="E557" s="37">
        <v>2000000</v>
      </c>
      <c r="F557" s="37">
        <v>0</v>
      </c>
      <c r="G557" s="25">
        <f t="shared" si="22"/>
        <v>2000000</v>
      </c>
      <c r="H557" s="38"/>
      <c r="I557" s="43"/>
      <c r="J557" s="43"/>
      <c r="K557" s="43"/>
      <c r="L557" s="43"/>
      <c r="M557" s="43"/>
      <c r="N557" s="43"/>
      <c r="O557" s="43"/>
      <c r="P557" s="43"/>
      <c r="Q557" s="43"/>
      <c r="R557" s="43"/>
      <c r="S557" s="43"/>
      <c r="T557" s="43"/>
      <c r="U557" s="43"/>
      <c r="V557" s="43"/>
      <c r="W557" s="43"/>
      <c r="X557" s="43"/>
      <c r="Y557" s="43"/>
      <c r="Z557" s="43"/>
      <c r="AA557" s="43"/>
      <c r="AB557" s="43"/>
      <c r="AC557" s="43"/>
      <c r="AD557" s="43"/>
      <c r="AE557" s="43"/>
      <c r="AF557" s="43"/>
      <c r="AG557" s="43"/>
      <c r="AH557" s="43"/>
    </row>
    <row r="558" spans="1:34" s="44" customFormat="1" ht="62.25">
      <c r="A558" s="48" t="s">
        <v>354</v>
      </c>
      <c r="B558" s="33" t="s">
        <v>341</v>
      </c>
      <c r="C558" s="36" t="s">
        <v>355</v>
      </c>
      <c r="D558" s="36"/>
      <c r="E558" s="37">
        <f>E559</f>
        <v>2105263.16</v>
      </c>
      <c r="F558" s="37">
        <f>F559</f>
        <v>-0.16</v>
      </c>
      <c r="G558" s="25">
        <f t="shared" si="22"/>
        <v>2105263</v>
      </c>
      <c r="H558" s="38"/>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row>
    <row r="559" spans="1:34" s="44" customFormat="1" ht="30.75">
      <c r="A559" s="48" t="s">
        <v>53</v>
      </c>
      <c r="B559" s="33" t="s">
        <v>341</v>
      </c>
      <c r="C559" s="36" t="s">
        <v>355</v>
      </c>
      <c r="D559" s="36">
        <v>600</v>
      </c>
      <c r="E559" s="37">
        <f>E560</f>
        <v>2105263.16</v>
      </c>
      <c r="F559" s="37">
        <f>F560</f>
        <v>-0.16</v>
      </c>
      <c r="G559" s="25">
        <f t="shared" si="22"/>
        <v>2105263</v>
      </c>
      <c r="H559" s="38"/>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row>
    <row r="560" spans="1:34" s="44" customFormat="1" ht="15">
      <c r="A560" s="48" t="s">
        <v>54</v>
      </c>
      <c r="B560" s="33" t="s">
        <v>341</v>
      </c>
      <c r="C560" s="36" t="s">
        <v>355</v>
      </c>
      <c r="D560" s="36">
        <v>610</v>
      </c>
      <c r="E560" s="37">
        <v>2105263.16</v>
      </c>
      <c r="F560" s="27">
        <v>-0.16</v>
      </c>
      <c r="G560" s="25">
        <f t="shared" si="22"/>
        <v>2105263</v>
      </c>
      <c r="H560" s="38"/>
      <c r="I560" s="43"/>
      <c r="J560" s="43"/>
      <c r="K560" s="43"/>
      <c r="L560" s="43"/>
      <c r="M560" s="43"/>
      <c r="N560" s="43"/>
      <c r="O560" s="43"/>
      <c r="P560" s="43"/>
      <c r="Q560" s="43"/>
      <c r="R560" s="43"/>
      <c r="S560" s="43"/>
      <c r="T560" s="43"/>
      <c r="U560" s="43"/>
      <c r="V560" s="43"/>
      <c r="W560" s="43"/>
      <c r="X560" s="43"/>
      <c r="Y560" s="43"/>
      <c r="Z560" s="43"/>
      <c r="AA560" s="43"/>
      <c r="AB560" s="43"/>
      <c r="AC560" s="43"/>
      <c r="AD560" s="43"/>
      <c r="AE560" s="43"/>
      <c r="AF560" s="43"/>
      <c r="AG560" s="43"/>
      <c r="AH560" s="43"/>
    </row>
    <row r="561" spans="1:34" s="44" customFormat="1" ht="46.5">
      <c r="A561" s="48" t="s">
        <v>356</v>
      </c>
      <c r="B561" s="33" t="s">
        <v>341</v>
      </c>
      <c r="C561" s="36" t="s">
        <v>357</v>
      </c>
      <c r="D561" s="36"/>
      <c r="E561" s="37">
        <f>E562</f>
        <v>39684960</v>
      </c>
      <c r="F561" s="37">
        <f>F562</f>
        <v>0</v>
      </c>
      <c r="G561" s="25">
        <f t="shared" si="22"/>
        <v>39684960</v>
      </c>
      <c r="H561" s="38"/>
      <c r="I561" s="43"/>
      <c r="J561" s="43"/>
      <c r="K561" s="43"/>
      <c r="L561" s="43"/>
      <c r="M561" s="43"/>
      <c r="N561" s="43"/>
      <c r="O561" s="43"/>
      <c r="P561" s="43"/>
      <c r="Q561" s="43"/>
      <c r="R561" s="43"/>
      <c r="S561" s="43"/>
      <c r="T561" s="43"/>
      <c r="U561" s="43"/>
      <c r="V561" s="43"/>
      <c r="W561" s="43"/>
      <c r="X561" s="43"/>
      <c r="Y561" s="43"/>
      <c r="Z561" s="43"/>
      <c r="AA561" s="43"/>
      <c r="AB561" s="43"/>
      <c r="AC561" s="43"/>
      <c r="AD561" s="43"/>
      <c r="AE561" s="43"/>
      <c r="AF561" s="43"/>
      <c r="AG561" s="43"/>
      <c r="AH561" s="43"/>
    </row>
    <row r="562" spans="1:34" s="44" customFormat="1" ht="30.75">
      <c r="A562" s="48" t="s">
        <v>53</v>
      </c>
      <c r="B562" s="33" t="s">
        <v>341</v>
      </c>
      <c r="C562" s="36" t="s">
        <v>357</v>
      </c>
      <c r="D562" s="36">
        <v>600</v>
      </c>
      <c r="E562" s="37">
        <f>E563</f>
        <v>39684960</v>
      </c>
      <c r="F562" s="37">
        <f>F563</f>
        <v>0</v>
      </c>
      <c r="G562" s="25">
        <f t="shared" si="22"/>
        <v>39684960</v>
      </c>
      <c r="H562" s="38"/>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row>
    <row r="563" spans="1:34" s="44" customFormat="1" ht="15">
      <c r="A563" s="48" t="s">
        <v>54</v>
      </c>
      <c r="B563" s="33" t="s">
        <v>341</v>
      </c>
      <c r="C563" s="36" t="s">
        <v>357</v>
      </c>
      <c r="D563" s="36">
        <v>610</v>
      </c>
      <c r="E563" s="37">
        <v>39684960</v>
      </c>
      <c r="F563" s="37">
        <v>0</v>
      </c>
      <c r="G563" s="25">
        <f t="shared" si="22"/>
        <v>39684960</v>
      </c>
      <c r="H563" s="38"/>
      <c r="I563" s="43"/>
      <c r="J563" s="43"/>
      <c r="K563" s="43"/>
      <c r="L563" s="43"/>
      <c r="M563" s="43"/>
      <c r="N563" s="43"/>
      <c r="O563" s="43"/>
      <c r="P563" s="43"/>
      <c r="Q563" s="43"/>
      <c r="R563" s="43"/>
      <c r="S563" s="43"/>
      <c r="T563" s="43"/>
      <c r="U563" s="43"/>
      <c r="V563" s="43"/>
      <c r="W563" s="43"/>
      <c r="X563" s="43"/>
      <c r="Y563" s="43"/>
      <c r="Z563" s="43"/>
      <c r="AA563" s="43"/>
      <c r="AB563" s="43"/>
      <c r="AC563" s="43"/>
      <c r="AD563" s="43"/>
      <c r="AE563" s="43"/>
      <c r="AF563" s="43"/>
      <c r="AG563" s="43"/>
      <c r="AH563" s="43"/>
    </row>
    <row r="564" spans="1:34" s="44" customFormat="1" ht="46.5">
      <c r="A564" s="31" t="s">
        <v>358</v>
      </c>
      <c r="B564" s="24" t="s">
        <v>341</v>
      </c>
      <c r="C564" s="26" t="s">
        <v>359</v>
      </c>
      <c r="D564" s="26"/>
      <c r="E564" s="27">
        <f>E565+E569</f>
        <v>93683924.84</v>
      </c>
      <c r="F564" s="27">
        <f>F565+F569</f>
        <v>7442174</v>
      </c>
      <c r="G564" s="25">
        <f t="shared" si="22"/>
        <v>101126098.84</v>
      </c>
      <c r="H564" s="38"/>
      <c r="I564" s="43"/>
      <c r="J564" s="43"/>
      <c r="K564" s="43"/>
      <c r="L564" s="43"/>
      <c r="M564" s="43"/>
      <c r="N564" s="43"/>
      <c r="O564" s="43"/>
      <c r="P564" s="43"/>
      <c r="Q564" s="43"/>
      <c r="R564" s="43"/>
      <c r="S564" s="43"/>
      <c r="T564" s="43"/>
      <c r="U564" s="43"/>
      <c r="V564" s="43"/>
      <c r="W564" s="43"/>
      <c r="X564" s="43"/>
      <c r="Y564" s="43"/>
      <c r="Z564" s="43"/>
      <c r="AA564" s="43"/>
      <c r="AB564" s="43"/>
      <c r="AC564" s="43"/>
      <c r="AD564" s="43"/>
      <c r="AE564" s="43"/>
      <c r="AF564" s="43"/>
      <c r="AG564" s="43"/>
      <c r="AH564" s="43"/>
    </row>
    <row r="565" spans="1:34" s="44" customFormat="1" ht="34.5" customHeight="1">
      <c r="A565" s="31" t="s">
        <v>360</v>
      </c>
      <c r="B565" s="24" t="s">
        <v>341</v>
      </c>
      <c r="C565" s="26" t="s">
        <v>361</v>
      </c>
      <c r="D565" s="26"/>
      <c r="E565" s="27">
        <f>E566</f>
        <v>24875646.84</v>
      </c>
      <c r="F565" s="27">
        <f>F566</f>
        <v>7442174</v>
      </c>
      <c r="G565" s="25">
        <f t="shared" si="22"/>
        <v>32317820.84</v>
      </c>
      <c r="H565" s="38"/>
      <c r="I565" s="43"/>
      <c r="J565" s="43"/>
      <c r="K565" s="43"/>
      <c r="L565" s="43"/>
      <c r="M565" s="43"/>
      <c r="N565" s="43"/>
      <c r="O565" s="43"/>
      <c r="P565" s="43"/>
      <c r="Q565" s="43"/>
      <c r="R565" s="43"/>
      <c r="S565" s="43"/>
      <c r="T565" s="43"/>
      <c r="U565" s="43"/>
      <c r="V565" s="43"/>
      <c r="W565" s="43"/>
      <c r="X565" s="43"/>
      <c r="Y565" s="43"/>
      <c r="Z565" s="43"/>
      <c r="AA565" s="43"/>
      <c r="AB565" s="43"/>
      <c r="AC565" s="43"/>
      <c r="AD565" s="43"/>
      <c r="AE565" s="43"/>
      <c r="AF565" s="43"/>
      <c r="AG565" s="43"/>
      <c r="AH565" s="43"/>
    </row>
    <row r="566" spans="1:34" s="44" customFormat="1" ht="30.75">
      <c r="A566" s="31" t="s">
        <v>53</v>
      </c>
      <c r="B566" s="24" t="s">
        <v>341</v>
      </c>
      <c r="C566" s="26" t="s">
        <v>361</v>
      </c>
      <c r="D566" s="26">
        <v>600</v>
      </c>
      <c r="E566" s="27">
        <f>SUM(E567:E568)</f>
        <v>24875646.84</v>
      </c>
      <c r="F566" s="27">
        <f>SUM(F567:F568)</f>
        <v>7442174</v>
      </c>
      <c r="G566" s="25">
        <f t="shared" si="22"/>
        <v>32317820.84</v>
      </c>
      <c r="H566" s="38"/>
      <c r="I566" s="43"/>
      <c r="J566" s="43"/>
      <c r="K566" s="43"/>
      <c r="L566" s="43"/>
      <c r="M566" s="43"/>
      <c r="N566" s="43"/>
      <c r="O566" s="43"/>
      <c r="P566" s="43"/>
      <c r="Q566" s="43"/>
      <c r="R566" s="43"/>
      <c r="S566" s="43"/>
      <c r="T566" s="43"/>
      <c r="U566" s="43"/>
      <c r="V566" s="43"/>
      <c r="W566" s="43"/>
      <c r="X566" s="43"/>
      <c r="Y566" s="43"/>
      <c r="Z566" s="43"/>
      <c r="AA566" s="43"/>
      <c r="AB566" s="43"/>
      <c r="AC566" s="43"/>
      <c r="AD566" s="43"/>
      <c r="AE566" s="43"/>
      <c r="AF566" s="43"/>
      <c r="AG566" s="43"/>
      <c r="AH566" s="43"/>
    </row>
    <row r="567" spans="1:34" s="44" customFormat="1" ht="15">
      <c r="A567" s="31" t="s">
        <v>54</v>
      </c>
      <c r="B567" s="24" t="s">
        <v>341</v>
      </c>
      <c r="C567" s="26" t="s">
        <v>361</v>
      </c>
      <c r="D567" s="26">
        <v>610</v>
      </c>
      <c r="E567" s="27">
        <v>23575646.84</v>
      </c>
      <c r="F567" s="27">
        <f>301930+7140244</f>
        <v>7442174</v>
      </c>
      <c r="G567" s="25">
        <f t="shared" si="22"/>
        <v>31017820.84</v>
      </c>
      <c r="H567" s="38"/>
      <c r="I567" s="43"/>
      <c r="J567" s="43"/>
      <c r="K567" s="43"/>
      <c r="L567" s="43"/>
      <c r="M567" s="43"/>
      <c r="N567" s="43"/>
      <c r="O567" s="43"/>
      <c r="P567" s="43"/>
      <c r="Q567" s="43"/>
      <c r="R567" s="43"/>
      <c r="S567" s="43"/>
      <c r="T567" s="43"/>
      <c r="U567" s="43"/>
      <c r="V567" s="43"/>
      <c r="W567" s="43"/>
      <c r="X567" s="43"/>
      <c r="Y567" s="43"/>
      <c r="Z567" s="43"/>
      <c r="AA567" s="43"/>
      <c r="AB567" s="43"/>
      <c r="AC567" s="43"/>
      <c r="AD567" s="43"/>
      <c r="AE567" s="43"/>
      <c r="AF567" s="43"/>
      <c r="AG567" s="43"/>
      <c r="AH567" s="43"/>
    </row>
    <row r="568" spans="1:34" s="44" customFormat="1" ht="30.75">
      <c r="A568" s="31" t="s">
        <v>63</v>
      </c>
      <c r="B568" s="24" t="s">
        <v>341</v>
      </c>
      <c r="C568" s="26" t="s">
        <v>361</v>
      </c>
      <c r="D568" s="26">
        <v>630</v>
      </c>
      <c r="E568" s="27">
        <v>1300000</v>
      </c>
      <c r="F568" s="27">
        <v>0</v>
      </c>
      <c r="G568" s="25">
        <f t="shared" si="22"/>
        <v>1300000</v>
      </c>
      <c r="H568" s="38"/>
      <c r="I568" s="43"/>
      <c r="J568" s="43"/>
      <c r="K568" s="43"/>
      <c r="L568" s="43"/>
      <c r="M568" s="43"/>
      <c r="N568" s="43"/>
      <c r="O568" s="43"/>
      <c r="P568" s="43"/>
      <c r="Q568" s="43"/>
      <c r="R568" s="43"/>
      <c r="S568" s="43"/>
      <c r="T568" s="43"/>
      <c r="U568" s="43"/>
      <c r="V568" s="43"/>
      <c r="W568" s="43"/>
      <c r="X568" s="43"/>
      <c r="Y568" s="43"/>
      <c r="Z568" s="43"/>
      <c r="AA568" s="43"/>
      <c r="AB568" s="43"/>
      <c r="AC568" s="43"/>
      <c r="AD568" s="43"/>
      <c r="AE568" s="43"/>
      <c r="AF568" s="43"/>
      <c r="AG568" s="43"/>
      <c r="AH568" s="43"/>
    </row>
    <row r="569" spans="1:34" s="44" customFormat="1" ht="46.5">
      <c r="A569" s="48" t="s">
        <v>362</v>
      </c>
      <c r="B569" s="33" t="s">
        <v>341</v>
      </c>
      <c r="C569" s="36" t="s">
        <v>363</v>
      </c>
      <c r="D569" s="36"/>
      <c r="E569" s="37">
        <f>E570</f>
        <v>68808278</v>
      </c>
      <c r="F569" s="37">
        <f>F570</f>
        <v>0</v>
      </c>
      <c r="G569" s="25">
        <f t="shared" si="22"/>
        <v>68808278</v>
      </c>
      <c r="H569" s="38"/>
      <c r="I569" s="43"/>
      <c r="J569" s="43"/>
      <c r="K569" s="43"/>
      <c r="L569" s="43"/>
      <c r="M569" s="43"/>
      <c r="N569" s="43"/>
      <c r="O569" s="43"/>
      <c r="P569" s="43"/>
      <c r="Q569" s="43"/>
      <c r="R569" s="43"/>
      <c r="S569" s="43"/>
      <c r="T569" s="43"/>
      <c r="U569" s="43"/>
      <c r="V569" s="43"/>
      <c r="W569" s="43"/>
      <c r="X569" s="43"/>
      <c r="Y569" s="43"/>
      <c r="Z569" s="43"/>
      <c r="AA569" s="43"/>
      <c r="AB569" s="43"/>
      <c r="AC569" s="43"/>
      <c r="AD569" s="43"/>
      <c r="AE569" s="43"/>
      <c r="AF569" s="43"/>
      <c r="AG569" s="43"/>
      <c r="AH569" s="43"/>
    </row>
    <row r="570" spans="1:34" s="44" customFormat="1" ht="30.75">
      <c r="A570" s="48" t="s">
        <v>53</v>
      </c>
      <c r="B570" s="33" t="s">
        <v>341</v>
      </c>
      <c r="C570" s="36" t="s">
        <v>363</v>
      </c>
      <c r="D570" s="36">
        <v>600</v>
      </c>
      <c r="E570" s="37">
        <f>E571</f>
        <v>68808278</v>
      </c>
      <c r="F570" s="37">
        <f>F571</f>
        <v>0</v>
      </c>
      <c r="G570" s="25">
        <f t="shared" si="22"/>
        <v>68808278</v>
      </c>
      <c r="H570" s="38"/>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c r="AF570" s="43"/>
      <c r="AG570" s="43"/>
      <c r="AH570" s="43"/>
    </row>
    <row r="571" spans="1:34" s="44" customFormat="1" ht="15">
      <c r="A571" s="48" t="s">
        <v>54</v>
      </c>
      <c r="B571" s="33" t="s">
        <v>341</v>
      </c>
      <c r="C571" s="36" t="s">
        <v>363</v>
      </c>
      <c r="D571" s="36">
        <v>610</v>
      </c>
      <c r="E571" s="37">
        <v>68808278</v>
      </c>
      <c r="F571" s="37">
        <v>0</v>
      </c>
      <c r="G571" s="25">
        <f t="shared" si="22"/>
        <v>68808278</v>
      </c>
      <c r="H571" s="38"/>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row>
    <row r="572" spans="1:34" s="44" customFormat="1" ht="15.75">
      <c r="A572" s="20" t="s">
        <v>364</v>
      </c>
      <c r="B572" s="21" t="s">
        <v>365</v>
      </c>
      <c r="C572" s="46"/>
      <c r="D572" s="46"/>
      <c r="E572" s="47">
        <f>E583+E573</f>
        <v>205100783</v>
      </c>
      <c r="F572" s="47">
        <f>F583+F573</f>
        <v>2850727.08</v>
      </c>
      <c r="G572" s="22">
        <f t="shared" si="22"/>
        <v>207951510.08</v>
      </c>
      <c r="H572" s="38"/>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c r="AF572" s="43"/>
      <c r="AG572" s="43"/>
      <c r="AH572" s="43"/>
    </row>
    <row r="573" spans="1:34" s="44" customFormat="1" ht="30.75">
      <c r="A573" s="31" t="s">
        <v>324</v>
      </c>
      <c r="B573" s="24" t="s">
        <v>365</v>
      </c>
      <c r="C573" s="26" t="s">
        <v>325</v>
      </c>
      <c r="D573" s="26"/>
      <c r="E573" s="49">
        <f>E574</f>
        <v>70400000</v>
      </c>
      <c r="F573" s="49">
        <f>F574</f>
        <v>400000</v>
      </c>
      <c r="G573" s="25">
        <f t="shared" si="22"/>
        <v>70800000</v>
      </c>
      <c r="H573" s="38"/>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c r="AF573" s="43"/>
      <c r="AG573" s="43"/>
      <c r="AH573" s="43"/>
    </row>
    <row r="574" spans="1:34" s="44" customFormat="1" ht="30.75">
      <c r="A574" s="31" t="s">
        <v>366</v>
      </c>
      <c r="B574" s="24" t="s">
        <v>365</v>
      </c>
      <c r="C574" s="26" t="s">
        <v>367</v>
      </c>
      <c r="D574" s="26"/>
      <c r="E574" s="27">
        <f>SUM(E575,E579)</f>
        <v>70400000</v>
      </c>
      <c r="F574" s="27">
        <f>SUM(F575,F579)</f>
        <v>400000</v>
      </c>
      <c r="G574" s="25">
        <f t="shared" si="22"/>
        <v>70800000</v>
      </c>
      <c r="H574" s="38"/>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row>
    <row r="575" spans="1:34" s="44" customFormat="1" ht="30.75">
      <c r="A575" s="31" t="s">
        <v>368</v>
      </c>
      <c r="B575" s="24" t="s">
        <v>365</v>
      </c>
      <c r="C575" s="26" t="s">
        <v>369</v>
      </c>
      <c r="D575" s="26"/>
      <c r="E575" s="27">
        <f>E576</f>
        <v>69050000</v>
      </c>
      <c r="F575" s="27">
        <f>F576</f>
        <v>1050000</v>
      </c>
      <c r="G575" s="25">
        <f t="shared" si="22"/>
        <v>70100000</v>
      </c>
      <c r="H575" s="38"/>
      <c r="I575" s="43"/>
      <c r="J575" s="43"/>
      <c r="K575" s="43"/>
      <c r="L575" s="43"/>
      <c r="M575" s="43"/>
      <c r="N575" s="43"/>
      <c r="O575" s="43"/>
      <c r="P575" s="43"/>
      <c r="Q575" s="43"/>
      <c r="R575" s="43"/>
      <c r="S575" s="43"/>
      <c r="T575" s="43"/>
      <c r="U575" s="43"/>
      <c r="V575" s="43"/>
      <c r="W575" s="43"/>
      <c r="X575" s="43"/>
      <c r="Y575" s="43"/>
      <c r="Z575" s="43"/>
      <c r="AA575" s="43"/>
      <c r="AB575" s="43"/>
      <c r="AC575" s="43"/>
      <c r="AD575" s="43"/>
      <c r="AE575" s="43"/>
      <c r="AF575" s="43"/>
      <c r="AG575" s="43"/>
      <c r="AH575" s="43"/>
    </row>
    <row r="576" spans="1:34" s="44" customFormat="1" ht="30.75">
      <c r="A576" s="31" t="s">
        <v>53</v>
      </c>
      <c r="B576" s="24" t="s">
        <v>365</v>
      </c>
      <c r="C576" s="26" t="s">
        <v>369</v>
      </c>
      <c r="D576" s="26">
        <v>600</v>
      </c>
      <c r="E576" s="27">
        <f>E577+E578</f>
        <v>69050000</v>
      </c>
      <c r="F576" s="27">
        <f>F577+F578</f>
        <v>1050000</v>
      </c>
      <c r="G576" s="25">
        <f t="shared" si="22"/>
        <v>70100000</v>
      </c>
      <c r="H576" s="38"/>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row>
    <row r="577" spans="1:34" s="44" customFormat="1" ht="15">
      <c r="A577" s="31" t="s">
        <v>54</v>
      </c>
      <c r="B577" s="24" t="s">
        <v>365</v>
      </c>
      <c r="C577" s="26" t="s">
        <v>369</v>
      </c>
      <c r="D577" s="26">
        <v>610</v>
      </c>
      <c r="E577" s="27">
        <v>68800000</v>
      </c>
      <c r="F577" s="27">
        <v>400000</v>
      </c>
      <c r="G577" s="25">
        <f t="shared" si="22"/>
        <v>69200000</v>
      </c>
      <c r="H577" s="38"/>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c r="AF577" s="43"/>
      <c r="AG577" s="43"/>
      <c r="AH577" s="43"/>
    </row>
    <row r="578" spans="1:34" s="44" customFormat="1" ht="15">
      <c r="A578" s="31" t="s">
        <v>295</v>
      </c>
      <c r="B578" s="24" t="s">
        <v>365</v>
      </c>
      <c r="C578" s="26" t="s">
        <v>369</v>
      </c>
      <c r="D578" s="26">
        <v>620</v>
      </c>
      <c r="E578" s="27">
        <v>250000</v>
      </c>
      <c r="F578" s="27">
        <v>650000</v>
      </c>
      <c r="G578" s="25">
        <f t="shared" si="22"/>
        <v>900000</v>
      </c>
      <c r="H578" s="38"/>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c r="AH578" s="43"/>
    </row>
    <row r="579" spans="1:34" s="44" customFormat="1" ht="30.75">
      <c r="A579" s="31" t="s">
        <v>370</v>
      </c>
      <c r="B579" s="24" t="s">
        <v>365</v>
      </c>
      <c r="C579" s="26" t="s">
        <v>371</v>
      </c>
      <c r="D579" s="26"/>
      <c r="E579" s="27">
        <f>E580</f>
        <v>1350000</v>
      </c>
      <c r="F579" s="27">
        <f>F580</f>
        <v>-650000</v>
      </c>
      <c r="G579" s="25">
        <f t="shared" si="22"/>
        <v>700000</v>
      </c>
      <c r="H579" s="38"/>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c r="AF579" s="43"/>
      <c r="AG579" s="43"/>
      <c r="AH579" s="43"/>
    </row>
    <row r="580" spans="1:34" s="44" customFormat="1" ht="30.75">
      <c r="A580" s="31" t="s">
        <v>53</v>
      </c>
      <c r="B580" s="24" t="s">
        <v>365</v>
      </c>
      <c r="C580" s="26" t="s">
        <v>371</v>
      </c>
      <c r="D580" s="26">
        <v>600</v>
      </c>
      <c r="E580" s="27">
        <f>SUM(E581:E582)</f>
        <v>1350000</v>
      </c>
      <c r="F580" s="27">
        <f>SUM(F581:F582)</f>
        <v>-650000</v>
      </c>
      <c r="G580" s="25">
        <f t="shared" si="22"/>
        <v>700000</v>
      </c>
      <c r="H580" s="38"/>
      <c r="I580" s="43"/>
      <c r="J580" s="43"/>
      <c r="K580" s="43"/>
      <c r="L580" s="43"/>
      <c r="M580" s="43"/>
      <c r="N580" s="43"/>
      <c r="O580" s="43"/>
      <c r="P580" s="43"/>
      <c r="Q580" s="43"/>
      <c r="R580" s="43"/>
      <c r="S580" s="43"/>
      <c r="T580" s="43"/>
      <c r="U580" s="43"/>
      <c r="V580" s="43"/>
      <c r="W580" s="43"/>
      <c r="X580" s="43"/>
      <c r="Y580" s="43"/>
      <c r="Z580" s="43"/>
      <c r="AA580" s="43"/>
      <c r="AB580" s="43"/>
      <c r="AC580" s="43"/>
      <c r="AD580" s="43"/>
      <c r="AE580" s="43"/>
      <c r="AF580" s="43"/>
      <c r="AG580" s="43"/>
      <c r="AH580" s="43"/>
    </row>
    <row r="581" spans="1:34" s="44" customFormat="1" ht="15">
      <c r="A581" s="31" t="s">
        <v>54</v>
      </c>
      <c r="B581" s="24" t="s">
        <v>365</v>
      </c>
      <c r="C581" s="26" t="s">
        <v>371</v>
      </c>
      <c r="D581" s="26">
        <v>610</v>
      </c>
      <c r="E581" s="27">
        <v>500000</v>
      </c>
      <c r="F581" s="27">
        <v>0</v>
      </c>
      <c r="G581" s="25">
        <f t="shared" si="22"/>
        <v>500000</v>
      </c>
      <c r="H581" s="38"/>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c r="AF581" s="43"/>
      <c r="AG581" s="43"/>
      <c r="AH581" s="43"/>
    </row>
    <row r="582" spans="1:34" s="44" customFormat="1" ht="15">
      <c r="A582" s="31" t="s">
        <v>295</v>
      </c>
      <c r="B582" s="24" t="s">
        <v>365</v>
      </c>
      <c r="C582" s="26" t="s">
        <v>371</v>
      </c>
      <c r="D582" s="26">
        <v>620</v>
      </c>
      <c r="E582" s="27">
        <v>850000</v>
      </c>
      <c r="F582" s="27">
        <v>-650000</v>
      </c>
      <c r="G582" s="25">
        <f t="shared" si="22"/>
        <v>200000</v>
      </c>
      <c r="H582" s="38"/>
      <c r="I582" s="43"/>
      <c r="J582" s="43"/>
      <c r="K582" s="43"/>
      <c r="L582" s="43"/>
      <c r="M582" s="43"/>
      <c r="N582" s="43"/>
      <c r="O582" s="43"/>
      <c r="P582" s="43"/>
      <c r="Q582" s="43"/>
      <c r="R582" s="43"/>
      <c r="S582" s="43"/>
      <c r="T582" s="43"/>
      <c r="U582" s="43"/>
      <c r="V582" s="43"/>
      <c r="W582" s="43"/>
      <c r="X582" s="43"/>
      <c r="Y582" s="43"/>
      <c r="Z582" s="43"/>
      <c r="AA582" s="43"/>
      <c r="AB582" s="43"/>
      <c r="AC582" s="43"/>
      <c r="AD582" s="43"/>
      <c r="AE582" s="43"/>
      <c r="AF582" s="43"/>
      <c r="AG582" s="43"/>
      <c r="AH582" s="43"/>
    </row>
    <row r="583" spans="1:34" s="44" customFormat="1" ht="30.75">
      <c r="A583" s="31" t="s">
        <v>372</v>
      </c>
      <c r="B583" s="24" t="s">
        <v>365</v>
      </c>
      <c r="C583" s="26" t="s">
        <v>373</v>
      </c>
      <c r="D583" s="26"/>
      <c r="E583" s="27">
        <f>E584</f>
        <v>134700783</v>
      </c>
      <c r="F583" s="27">
        <f>F584</f>
        <v>2450727.08</v>
      </c>
      <c r="G583" s="25">
        <f t="shared" si="22"/>
        <v>137151510.08</v>
      </c>
      <c r="H583" s="38"/>
      <c r="I583" s="43"/>
      <c r="J583" s="43"/>
      <c r="K583" s="43"/>
      <c r="L583" s="43"/>
      <c r="M583" s="43"/>
      <c r="N583" s="43"/>
      <c r="O583" s="43"/>
      <c r="P583" s="43"/>
      <c r="Q583" s="43"/>
      <c r="R583" s="43"/>
      <c r="S583" s="43"/>
      <c r="T583" s="43"/>
      <c r="U583" s="43"/>
      <c r="V583" s="43"/>
      <c r="W583" s="43"/>
      <c r="X583" s="43"/>
      <c r="Y583" s="43"/>
      <c r="Z583" s="43"/>
      <c r="AA583" s="43"/>
      <c r="AB583" s="43"/>
      <c r="AC583" s="43"/>
      <c r="AD583" s="43"/>
      <c r="AE583" s="43"/>
      <c r="AF583" s="43"/>
      <c r="AG583" s="43"/>
      <c r="AH583" s="43"/>
    </row>
    <row r="584" spans="1:34" s="44" customFormat="1" ht="46.5">
      <c r="A584" s="61" t="s">
        <v>374</v>
      </c>
      <c r="B584" s="24" t="s">
        <v>365</v>
      </c>
      <c r="C584" s="26" t="s">
        <v>375</v>
      </c>
      <c r="D584" s="26"/>
      <c r="E584" s="27">
        <f>SUM(E585,E588,E591)</f>
        <v>134700783</v>
      </c>
      <c r="F584" s="27">
        <f>SUM(F585,F588,F591)</f>
        <v>2450727.08</v>
      </c>
      <c r="G584" s="25">
        <f t="shared" si="22"/>
        <v>137151510.08</v>
      </c>
      <c r="H584" s="38"/>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row>
    <row r="585" spans="1:34" s="44" customFormat="1" ht="30.75">
      <c r="A585" s="61" t="s">
        <v>376</v>
      </c>
      <c r="B585" s="24" t="s">
        <v>365</v>
      </c>
      <c r="C585" s="26" t="s">
        <v>377</v>
      </c>
      <c r="D585" s="26"/>
      <c r="E585" s="27">
        <f>E586</f>
        <v>120500000</v>
      </c>
      <c r="F585" s="27">
        <f>F586</f>
        <v>1.0913936421275139E-10</v>
      </c>
      <c r="G585" s="25">
        <f t="shared" si="22"/>
        <v>120500000</v>
      </c>
      <c r="H585" s="38"/>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row>
    <row r="586" spans="1:34" s="44" customFormat="1" ht="30.75">
      <c r="A586" s="31" t="s">
        <v>53</v>
      </c>
      <c r="B586" s="24" t="s">
        <v>365</v>
      </c>
      <c r="C586" s="26" t="s">
        <v>377</v>
      </c>
      <c r="D586" s="26">
        <v>600</v>
      </c>
      <c r="E586" s="27">
        <f>E587</f>
        <v>120500000</v>
      </c>
      <c r="F586" s="27">
        <f>F587</f>
        <v>1.0913936421275139E-10</v>
      </c>
      <c r="G586" s="25">
        <f t="shared" si="22"/>
        <v>120500000</v>
      </c>
      <c r="H586" s="38"/>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row>
    <row r="587" spans="1:34" s="44" customFormat="1" ht="15">
      <c r="A587" s="31" t="s">
        <v>54</v>
      </c>
      <c r="B587" s="24" t="s">
        <v>365</v>
      </c>
      <c r="C587" s="26" t="s">
        <v>377</v>
      </c>
      <c r="D587" s="26">
        <v>610</v>
      </c>
      <c r="E587" s="27">
        <f>120500000</f>
        <v>120500000</v>
      </c>
      <c r="F587" s="27">
        <f>-2255850-45499.88+2255850+45499.88</f>
        <v>1.0913936421275139E-10</v>
      </c>
      <c r="G587" s="25">
        <f t="shared" si="22"/>
        <v>120500000</v>
      </c>
      <c r="H587" s="38"/>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row>
    <row r="588" spans="1:34" s="44" customFormat="1" ht="46.5">
      <c r="A588" s="61" t="s">
        <v>378</v>
      </c>
      <c r="B588" s="24" t="s">
        <v>365</v>
      </c>
      <c r="C588" s="26" t="s">
        <v>379</v>
      </c>
      <c r="D588" s="26"/>
      <c r="E588" s="27">
        <f>E589</f>
        <v>831537.74</v>
      </c>
      <c r="F588" s="27">
        <f>F589</f>
        <v>2450727.08</v>
      </c>
      <c r="G588" s="25">
        <f t="shared" si="22"/>
        <v>3282264.8200000003</v>
      </c>
      <c r="H588" s="38"/>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c r="AF588" s="43"/>
      <c r="AG588" s="43"/>
      <c r="AH588" s="43"/>
    </row>
    <row r="589" spans="1:34" s="44" customFormat="1" ht="30.75">
      <c r="A589" s="31" t="s">
        <v>53</v>
      </c>
      <c r="B589" s="24" t="s">
        <v>365</v>
      </c>
      <c r="C589" s="26" t="s">
        <v>379</v>
      </c>
      <c r="D589" s="26">
        <v>600</v>
      </c>
      <c r="E589" s="27">
        <f>E590</f>
        <v>831537.74</v>
      </c>
      <c r="F589" s="27">
        <f>F590</f>
        <v>2450727.08</v>
      </c>
      <c r="G589" s="25">
        <f t="shared" si="22"/>
        <v>3282264.8200000003</v>
      </c>
      <c r="H589" s="38"/>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c r="AF589" s="43"/>
      <c r="AG589" s="43"/>
      <c r="AH589" s="43"/>
    </row>
    <row r="590" spans="1:34" s="44" customFormat="1" ht="15">
      <c r="A590" s="31" t="s">
        <v>54</v>
      </c>
      <c r="B590" s="24" t="s">
        <v>365</v>
      </c>
      <c r="C590" s="26" t="s">
        <v>379</v>
      </c>
      <c r="D590" s="26">
        <v>610</v>
      </c>
      <c r="E590" s="27">
        <v>831537.74</v>
      </c>
      <c r="F590" s="27">
        <f>2255850+149377.2+45499.88</f>
        <v>2450727.08</v>
      </c>
      <c r="G590" s="25">
        <f t="shared" si="22"/>
        <v>3282264.8200000003</v>
      </c>
      <c r="H590" s="38"/>
      <c r="I590" s="43"/>
      <c r="J590" s="43"/>
      <c r="K590" s="43"/>
      <c r="L590" s="43"/>
      <c r="M590" s="43"/>
      <c r="N590" s="43"/>
      <c r="O590" s="43"/>
      <c r="P590" s="43"/>
      <c r="Q590" s="43"/>
      <c r="R590" s="43"/>
      <c r="S590" s="43"/>
      <c r="T590" s="43"/>
      <c r="U590" s="43"/>
      <c r="V590" s="43"/>
      <c r="W590" s="43"/>
      <c r="X590" s="43"/>
      <c r="Y590" s="43"/>
      <c r="Z590" s="43"/>
      <c r="AA590" s="43"/>
      <c r="AB590" s="43"/>
      <c r="AC590" s="43"/>
      <c r="AD590" s="43"/>
      <c r="AE590" s="43"/>
      <c r="AF590" s="43"/>
      <c r="AG590" s="43"/>
      <c r="AH590" s="43"/>
    </row>
    <row r="591" spans="1:34" s="44" customFormat="1" ht="108.75">
      <c r="A591" s="94" t="s">
        <v>380</v>
      </c>
      <c r="B591" s="33" t="s">
        <v>365</v>
      </c>
      <c r="C591" s="36" t="s">
        <v>381</v>
      </c>
      <c r="D591" s="36"/>
      <c r="E591" s="37">
        <f>E592</f>
        <v>13369245.26</v>
      </c>
      <c r="F591" s="37">
        <f>F592</f>
        <v>0</v>
      </c>
      <c r="G591" s="25">
        <f t="shared" si="22"/>
        <v>13369245.26</v>
      </c>
      <c r="H591" s="38"/>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row>
    <row r="592" spans="1:34" s="44" customFormat="1" ht="30.75">
      <c r="A592" s="94" t="s">
        <v>53</v>
      </c>
      <c r="B592" s="33" t="s">
        <v>365</v>
      </c>
      <c r="C592" s="36" t="s">
        <v>381</v>
      </c>
      <c r="D592" s="36">
        <v>600</v>
      </c>
      <c r="E592" s="37">
        <f>E593</f>
        <v>13369245.26</v>
      </c>
      <c r="F592" s="37">
        <f>F593</f>
        <v>0</v>
      </c>
      <c r="G592" s="25">
        <f t="shared" si="22"/>
        <v>13369245.26</v>
      </c>
      <c r="H592" s="38"/>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c r="AF592" s="43"/>
      <c r="AG592" s="43"/>
      <c r="AH592" s="43"/>
    </row>
    <row r="593" spans="1:34" s="44" customFormat="1" ht="15">
      <c r="A593" s="94" t="s">
        <v>54</v>
      </c>
      <c r="B593" s="33" t="s">
        <v>365</v>
      </c>
      <c r="C593" s="36" t="s">
        <v>381</v>
      </c>
      <c r="D593" s="36">
        <v>610</v>
      </c>
      <c r="E593" s="37">
        <v>13369245.26</v>
      </c>
      <c r="F593" s="37">
        <v>0</v>
      </c>
      <c r="G593" s="25">
        <f t="shared" si="22"/>
        <v>13369245.26</v>
      </c>
      <c r="H593" s="38"/>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row>
    <row r="594" spans="1:34" s="44" customFormat="1" ht="15.75">
      <c r="A594" s="20" t="s">
        <v>382</v>
      </c>
      <c r="B594" s="21" t="s">
        <v>383</v>
      </c>
      <c r="C594" s="26"/>
      <c r="D594" s="26"/>
      <c r="E594" s="47">
        <f>E603+E610+E595</f>
        <v>20458008</v>
      </c>
      <c r="F594" s="47">
        <f>F603+F610+F595</f>
        <v>-181930</v>
      </c>
      <c r="G594" s="22">
        <f t="shared" si="22"/>
        <v>20276078</v>
      </c>
      <c r="H594" s="38"/>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c r="AF594" s="43"/>
      <c r="AG594" s="43"/>
      <c r="AH594" s="43"/>
    </row>
    <row r="595" spans="1:34" s="44" customFormat="1" ht="30.75">
      <c r="A595" s="31" t="s">
        <v>324</v>
      </c>
      <c r="B595" s="24" t="s">
        <v>383</v>
      </c>
      <c r="C595" s="26" t="s">
        <v>325</v>
      </c>
      <c r="D595" s="26"/>
      <c r="E595" s="27">
        <f>E596</f>
        <v>11708008</v>
      </c>
      <c r="F595" s="27">
        <f>F596</f>
        <v>-301930</v>
      </c>
      <c r="G595" s="25">
        <f t="shared" si="22"/>
        <v>11406078</v>
      </c>
      <c r="H595" s="38"/>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c r="AF595" s="43"/>
      <c r="AG595" s="43"/>
      <c r="AH595" s="43"/>
    </row>
    <row r="596" spans="1:34" s="44" customFormat="1" ht="30.75">
      <c r="A596" s="31" t="s">
        <v>384</v>
      </c>
      <c r="B596" s="24" t="s">
        <v>383</v>
      </c>
      <c r="C596" s="26" t="s">
        <v>385</v>
      </c>
      <c r="D596" s="26"/>
      <c r="E596" s="27">
        <f>SUM(E597,E600)</f>
        <v>11708008</v>
      </c>
      <c r="F596" s="27">
        <f>SUM(F597,F600)</f>
        <v>-301930</v>
      </c>
      <c r="G596" s="25">
        <f t="shared" si="22"/>
        <v>11406078</v>
      </c>
      <c r="H596" s="38"/>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c r="AF596" s="43"/>
      <c r="AG596" s="43"/>
      <c r="AH596" s="43"/>
    </row>
    <row r="597" spans="1:34" s="44" customFormat="1" ht="30.75">
      <c r="A597" s="48" t="s">
        <v>386</v>
      </c>
      <c r="B597" s="33" t="s">
        <v>383</v>
      </c>
      <c r="C597" s="36" t="s">
        <v>387</v>
      </c>
      <c r="D597" s="36"/>
      <c r="E597" s="37">
        <f>E598</f>
        <v>11708008</v>
      </c>
      <c r="F597" s="37">
        <f>F598</f>
        <v>-11598860</v>
      </c>
      <c r="G597" s="25">
        <f t="shared" si="22"/>
        <v>109148</v>
      </c>
      <c r="H597" s="38"/>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c r="AF597" s="43"/>
      <c r="AG597" s="43"/>
      <c r="AH597" s="43"/>
    </row>
    <row r="598" spans="1:34" s="44" customFormat="1" ht="30.75">
      <c r="A598" s="35" t="s">
        <v>664</v>
      </c>
      <c r="B598" s="33" t="s">
        <v>383</v>
      </c>
      <c r="C598" s="36" t="s">
        <v>387</v>
      </c>
      <c r="D598" s="36">
        <v>200</v>
      </c>
      <c r="E598" s="37">
        <f>E599</f>
        <v>11708008</v>
      </c>
      <c r="F598" s="37">
        <f>F599</f>
        <v>-11598860</v>
      </c>
      <c r="G598" s="25">
        <f t="shared" si="22"/>
        <v>109148</v>
      </c>
      <c r="H598" s="38"/>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row>
    <row r="599" spans="1:34" s="44" customFormat="1" ht="30.75">
      <c r="A599" s="35" t="s">
        <v>666</v>
      </c>
      <c r="B599" s="33" t="s">
        <v>383</v>
      </c>
      <c r="C599" s="36" t="s">
        <v>387</v>
      </c>
      <c r="D599" s="36">
        <v>240</v>
      </c>
      <c r="E599" s="37">
        <f>2208008+9500000</f>
        <v>11708008</v>
      </c>
      <c r="F599" s="37">
        <v>-11598860</v>
      </c>
      <c r="G599" s="25">
        <f t="shared" si="22"/>
        <v>109148</v>
      </c>
      <c r="H599" s="38"/>
      <c r="I599" s="43"/>
      <c r="J599" s="43"/>
      <c r="K599" s="43"/>
      <c r="L599" s="43"/>
      <c r="M599" s="43"/>
      <c r="N599" s="43"/>
      <c r="O599" s="43"/>
      <c r="P599" s="43"/>
      <c r="Q599" s="43"/>
      <c r="R599" s="43"/>
      <c r="S599" s="43"/>
      <c r="T599" s="43"/>
      <c r="U599" s="43"/>
      <c r="V599" s="43"/>
      <c r="W599" s="43"/>
      <c r="X599" s="43"/>
      <c r="Y599" s="43"/>
      <c r="Z599" s="43"/>
      <c r="AA599" s="43"/>
      <c r="AB599" s="43"/>
      <c r="AC599" s="43"/>
      <c r="AD599" s="43"/>
      <c r="AE599" s="43"/>
      <c r="AF599" s="43"/>
      <c r="AG599" s="43"/>
      <c r="AH599" s="43"/>
    </row>
    <row r="600" spans="1:34" s="44" customFormat="1" ht="30.75">
      <c r="A600" s="31" t="s">
        <v>53</v>
      </c>
      <c r="B600" s="24" t="s">
        <v>383</v>
      </c>
      <c r="C600" s="36" t="s">
        <v>387</v>
      </c>
      <c r="D600" s="26">
        <v>600</v>
      </c>
      <c r="E600" s="37">
        <f>E601+E602</f>
        <v>0</v>
      </c>
      <c r="F600" s="37">
        <f>F601+F602</f>
        <v>11296930</v>
      </c>
      <c r="G600" s="25">
        <f t="shared" si="22"/>
        <v>11296930</v>
      </c>
      <c r="H600" s="38"/>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row>
    <row r="601" spans="1:34" s="44" customFormat="1" ht="15">
      <c r="A601" s="31" t="s">
        <v>54</v>
      </c>
      <c r="B601" s="24" t="s">
        <v>383</v>
      </c>
      <c r="C601" s="36" t="s">
        <v>387</v>
      </c>
      <c r="D601" s="26">
        <v>610</v>
      </c>
      <c r="E601" s="37">
        <v>0</v>
      </c>
      <c r="F601" s="37">
        <f>10076780-301930</f>
        <v>9774850</v>
      </c>
      <c r="G601" s="25">
        <f t="shared" si="22"/>
        <v>9774850</v>
      </c>
      <c r="H601" s="38"/>
      <c r="I601" s="43"/>
      <c r="J601" s="43"/>
      <c r="K601" s="43"/>
      <c r="L601" s="43"/>
      <c r="M601" s="43"/>
      <c r="N601" s="43"/>
      <c r="O601" s="43"/>
      <c r="P601" s="43"/>
      <c r="Q601" s="43"/>
      <c r="R601" s="43"/>
      <c r="S601" s="43"/>
      <c r="T601" s="43"/>
      <c r="U601" s="43"/>
      <c r="V601" s="43"/>
      <c r="W601" s="43"/>
      <c r="X601" s="43"/>
      <c r="Y601" s="43"/>
      <c r="Z601" s="43"/>
      <c r="AA601" s="43"/>
      <c r="AB601" s="43"/>
      <c r="AC601" s="43"/>
      <c r="AD601" s="43"/>
      <c r="AE601" s="43"/>
      <c r="AF601" s="43"/>
      <c r="AG601" s="43"/>
      <c r="AH601" s="43"/>
    </row>
    <row r="602" spans="1:34" s="44" customFormat="1" ht="15">
      <c r="A602" s="31" t="s">
        <v>295</v>
      </c>
      <c r="B602" s="24" t="s">
        <v>383</v>
      </c>
      <c r="C602" s="36" t="s">
        <v>387</v>
      </c>
      <c r="D602" s="36">
        <v>620</v>
      </c>
      <c r="E602" s="37">
        <v>0</v>
      </c>
      <c r="F602" s="37">
        <v>1522080</v>
      </c>
      <c r="G602" s="25">
        <f t="shared" si="22"/>
        <v>1522080</v>
      </c>
      <c r="H602" s="38"/>
      <c r="I602" s="43"/>
      <c r="J602" s="43"/>
      <c r="K602" s="43"/>
      <c r="L602" s="43"/>
      <c r="M602" s="43"/>
      <c r="N602" s="43"/>
      <c r="O602" s="43"/>
      <c r="P602" s="43"/>
      <c r="Q602" s="43"/>
      <c r="R602" s="43"/>
      <c r="S602" s="43"/>
      <c r="T602" s="43"/>
      <c r="U602" s="43"/>
      <c r="V602" s="43"/>
      <c r="W602" s="43"/>
      <c r="X602" s="43"/>
      <c r="Y602" s="43"/>
      <c r="Z602" s="43"/>
      <c r="AA602" s="43"/>
      <c r="AB602" s="43"/>
      <c r="AC602" s="43"/>
      <c r="AD602" s="43"/>
      <c r="AE602" s="43"/>
      <c r="AF602" s="43"/>
      <c r="AG602" s="43"/>
      <c r="AH602" s="43"/>
    </row>
    <row r="603" spans="1:34" s="44" customFormat="1" ht="15">
      <c r="A603" s="31" t="s">
        <v>388</v>
      </c>
      <c r="B603" s="24" t="s">
        <v>383</v>
      </c>
      <c r="C603" s="26" t="s">
        <v>389</v>
      </c>
      <c r="D603" s="26"/>
      <c r="E603" s="27">
        <f>SUM(E604,E607)</f>
        <v>8600000</v>
      </c>
      <c r="F603" s="27">
        <f>SUM(F604,F607)</f>
        <v>120000</v>
      </c>
      <c r="G603" s="25">
        <f t="shared" si="22"/>
        <v>8720000</v>
      </c>
      <c r="H603" s="38"/>
      <c r="I603" s="43"/>
      <c r="J603" s="43"/>
      <c r="K603" s="43"/>
      <c r="L603" s="43"/>
      <c r="M603" s="43"/>
      <c r="N603" s="43"/>
      <c r="O603" s="43"/>
      <c r="P603" s="43"/>
      <c r="Q603" s="43"/>
      <c r="R603" s="43"/>
      <c r="S603" s="43"/>
      <c r="T603" s="43"/>
      <c r="U603" s="43"/>
      <c r="V603" s="43"/>
      <c r="W603" s="43"/>
      <c r="X603" s="43"/>
      <c r="Y603" s="43"/>
      <c r="Z603" s="43"/>
      <c r="AA603" s="43"/>
      <c r="AB603" s="43"/>
      <c r="AC603" s="43"/>
      <c r="AD603" s="43"/>
      <c r="AE603" s="43"/>
      <c r="AF603" s="43"/>
      <c r="AG603" s="43"/>
      <c r="AH603" s="43"/>
    </row>
    <row r="604" spans="1:34" s="44" customFormat="1" ht="30.75">
      <c r="A604" s="31" t="s">
        <v>390</v>
      </c>
      <c r="B604" s="24" t="s">
        <v>383</v>
      </c>
      <c r="C604" s="26" t="s">
        <v>391</v>
      </c>
      <c r="D604" s="26"/>
      <c r="E604" s="27">
        <f>E605</f>
        <v>650000</v>
      </c>
      <c r="F604" s="27">
        <f>F605</f>
        <v>0</v>
      </c>
      <c r="G604" s="25">
        <f t="shared" si="22"/>
        <v>650000</v>
      </c>
      <c r="H604" s="38"/>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row>
    <row r="605" spans="1:34" s="44" customFormat="1" ht="30.75">
      <c r="A605" s="31" t="s">
        <v>53</v>
      </c>
      <c r="B605" s="24" t="s">
        <v>383</v>
      </c>
      <c r="C605" s="26" t="s">
        <v>391</v>
      </c>
      <c r="D605" s="26">
        <v>600</v>
      </c>
      <c r="E605" s="27">
        <f>E606</f>
        <v>650000</v>
      </c>
      <c r="F605" s="27">
        <f>F606</f>
        <v>0</v>
      </c>
      <c r="G605" s="25">
        <f t="shared" si="22"/>
        <v>650000</v>
      </c>
      <c r="H605" s="38"/>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row>
    <row r="606" spans="1:34" s="44" customFormat="1" ht="15">
      <c r="A606" s="31" t="s">
        <v>54</v>
      </c>
      <c r="B606" s="24" t="s">
        <v>383</v>
      </c>
      <c r="C606" s="26" t="s">
        <v>391</v>
      </c>
      <c r="D606" s="26">
        <v>610</v>
      </c>
      <c r="E606" s="49">
        <v>650000</v>
      </c>
      <c r="F606" s="49">
        <v>0</v>
      </c>
      <c r="G606" s="25">
        <f t="shared" si="22"/>
        <v>650000</v>
      </c>
      <c r="H606" s="38"/>
      <c r="I606" s="43"/>
      <c r="J606" s="43"/>
      <c r="K606" s="43"/>
      <c r="L606" s="43"/>
      <c r="M606" s="43"/>
      <c r="N606" s="43"/>
      <c r="O606" s="43"/>
      <c r="P606" s="43"/>
      <c r="Q606" s="43"/>
      <c r="R606" s="43"/>
      <c r="S606" s="43"/>
      <c r="T606" s="43"/>
      <c r="U606" s="43"/>
      <c r="V606" s="43"/>
      <c r="W606" s="43"/>
      <c r="X606" s="43"/>
      <c r="Y606" s="43"/>
      <c r="Z606" s="43"/>
      <c r="AA606" s="43"/>
      <c r="AB606" s="43"/>
      <c r="AC606" s="43"/>
      <c r="AD606" s="43"/>
      <c r="AE606" s="43"/>
      <c r="AF606" s="43"/>
      <c r="AG606" s="43"/>
      <c r="AH606" s="43"/>
    </row>
    <row r="607" spans="1:34" s="44" customFormat="1" ht="30.75">
      <c r="A607" s="31" t="s">
        <v>392</v>
      </c>
      <c r="B607" s="24" t="s">
        <v>383</v>
      </c>
      <c r="C607" s="26" t="s">
        <v>393</v>
      </c>
      <c r="D607" s="26"/>
      <c r="E607" s="49">
        <f>E608</f>
        <v>7950000</v>
      </c>
      <c r="F607" s="49">
        <f>F608</f>
        <v>120000</v>
      </c>
      <c r="G607" s="25">
        <f t="shared" si="22"/>
        <v>8070000</v>
      </c>
      <c r="H607" s="38"/>
      <c r="I607" s="43"/>
      <c r="J607" s="43"/>
      <c r="K607" s="43"/>
      <c r="L607" s="43"/>
      <c r="M607" s="43"/>
      <c r="N607" s="43"/>
      <c r="O607" s="43"/>
      <c r="P607" s="43"/>
      <c r="Q607" s="43"/>
      <c r="R607" s="43"/>
      <c r="S607" s="43"/>
      <c r="T607" s="43"/>
      <c r="U607" s="43"/>
      <c r="V607" s="43"/>
      <c r="W607" s="43"/>
      <c r="X607" s="43"/>
      <c r="Y607" s="43"/>
      <c r="Z607" s="43"/>
      <c r="AA607" s="43"/>
      <c r="AB607" s="43"/>
      <c r="AC607" s="43"/>
      <c r="AD607" s="43"/>
      <c r="AE607" s="43"/>
      <c r="AF607" s="43"/>
      <c r="AG607" s="43"/>
      <c r="AH607" s="43"/>
    </row>
    <row r="608" spans="1:34" s="44" customFormat="1" ht="30.75">
      <c r="A608" s="31" t="s">
        <v>53</v>
      </c>
      <c r="B608" s="24" t="s">
        <v>383</v>
      </c>
      <c r="C608" s="26" t="s">
        <v>393</v>
      </c>
      <c r="D608" s="26">
        <v>600</v>
      </c>
      <c r="E608" s="49">
        <f>E609</f>
        <v>7950000</v>
      </c>
      <c r="F608" s="49">
        <f>F609</f>
        <v>120000</v>
      </c>
      <c r="G608" s="25">
        <f t="shared" si="22"/>
        <v>8070000</v>
      </c>
      <c r="H608" s="38"/>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row>
    <row r="609" spans="1:34" s="44" customFormat="1" ht="15">
      <c r="A609" s="31" t="s">
        <v>54</v>
      </c>
      <c r="B609" s="24" t="s">
        <v>383</v>
      </c>
      <c r="C609" s="26" t="s">
        <v>393</v>
      </c>
      <c r="D609" s="26">
        <v>610</v>
      </c>
      <c r="E609" s="49">
        <v>7950000</v>
      </c>
      <c r="F609" s="49">
        <v>120000</v>
      </c>
      <c r="G609" s="25">
        <f t="shared" si="22"/>
        <v>8070000</v>
      </c>
      <c r="H609" s="38"/>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c r="AF609" s="43"/>
      <c r="AG609" s="43"/>
      <c r="AH609" s="43"/>
    </row>
    <row r="610" spans="1:34" s="44" customFormat="1" ht="30.75">
      <c r="A610" s="31" t="s">
        <v>55</v>
      </c>
      <c r="B610" s="24" t="s">
        <v>383</v>
      </c>
      <c r="C610" s="26" t="s">
        <v>56</v>
      </c>
      <c r="D610" s="26"/>
      <c r="E610" s="27">
        <f aca="true" t="shared" si="23" ref="E610:F613">E611</f>
        <v>150000</v>
      </c>
      <c r="F610" s="27">
        <f t="shared" si="23"/>
        <v>0</v>
      </c>
      <c r="G610" s="25">
        <f t="shared" si="22"/>
        <v>150000</v>
      </c>
      <c r="H610" s="38"/>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row>
    <row r="611" spans="1:34" s="44" customFormat="1" ht="46.5">
      <c r="A611" s="61" t="s">
        <v>57</v>
      </c>
      <c r="B611" s="24" t="s">
        <v>383</v>
      </c>
      <c r="C611" s="26" t="s">
        <v>58</v>
      </c>
      <c r="D611" s="26"/>
      <c r="E611" s="27">
        <f t="shared" si="23"/>
        <v>150000</v>
      </c>
      <c r="F611" s="27">
        <f t="shared" si="23"/>
        <v>0</v>
      </c>
      <c r="G611" s="25">
        <f t="shared" si="22"/>
        <v>150000</v>
      </c>
      <c r="H611" s="38"/>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row>
    <row r="612" spans="1:34" s="44" customFormat="1" ht="19.5" customHeight="1">
      <c r="A612" s="61" t="s">
        <v>394</v>
      </c>
      <c r="B612" s="24" t="s">
        <v>383</v>
      </c>
      <c r="C612" s="26" t="s">
        <v>395</v>
      </c>
      <c r="D612" s="26"/>
      <c r="E612" s="27">
        <f t="shared" si="23"/>
        <v>150000</v>
      </c>
      <c r="F612" s="27">
        <f t="shared" si="23"/>
        <v>0</v>
      </c>
      <c r="G612" s="25">
        <f t="shared" si="22"/>
        <v>150000</v>
      </c>
      <c r="H612" s="38"/>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c r="AF612" s="43"/>
      <c r="AG612" s="43"/>
      <c r="AH612" s="43"/>
    </row>
    <row r="613" spans="1:34" s="44" customFormat="1" ht="30.75">
      <c r="A613" s="31" t="s">
        <v>53</v>
      </c>
      <c r="B613" s="24" t="s">
        <v>383</v>
      </c>
      <c r="C613" s="26" t="s">
        <v>395</v>
      </c>
      <c r="D613" s="26">
        <v>600</v>
      </c>
      <c r="E613" s="27">
        <f t="shared" si="23"/>
        <v>150000</v>
      </c>
      <c r="F613" s="27">
        <f t="shared" si="23"/>
        <v>0</v>
      </c>
      <c r="G613" s="25">
        <f t="shared" si="22"/>
        <v>150000</v>
      </c>
      <c r="H613" s="38"/>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c r="AF613" s="43"/>
      <c r="AG613" s="43"/>
      <c r="AH613" s="43"/>
    </row>
    <row r="614" spans="1:34" s="44" customFormat="1" ht="15">
      <c r="A614" s="31" t="s">
        <v>54</v>
      </c>
      <c r="B614" s="24" t="s">
        <v>383</v>
      </c>
      <c r="C614" s="26" t="s">
        <v>395</v>
      </c>
      <c r="D614" s="26">
        <v>610</v>
      </c>
      <c r="E614" s="27">
        <v>150000</v>
      </c>
      <c r="F614" s="27">
        <v>0</v>
      </c>
      <c r="G614" s="25">
        <f t="shared" si="22"/>
        <v>150000</v>
      </c>
      <c r="H614" s="38"/>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c r="AF614" s="43"/>
      <c r="AG614" s="43"/>
      <c r="AH614" s="43"/>
    </row>
    <row r="615" spans="1:34" s="44" customFormat="1" ht="15.75">
      <c r="A615" s="20" t="s">
        <v>396</v>
      </c>
      <c r="B615" s="21" t="s">
        <v>397</v>
      </c>
      <c r="C615" s="26"/>
      <c r="D615" s="26"/>
      <c r="E615" s="47">
        <f>E616+E651</f>
        <v>75879653</v>
      </c>
      <c r="F615" s="47">
        <f>F616+F651</f>
        <v>2575911</v>
      </c>
      <c r="G615" s="22">
        <f t="shared" si="22"/>
        <v>78455564</v>
      </c>
      <c r="H615" s="38"/>
      <c r="I615" s="43"/>
      <c r="J615" s="43"/>
      <c r="K615" s="43"/>
      <c r="L615" s="43"/>
      <c r="M615" s="43"/>
      <c r="N615" s="43"/>
      <c r="O615" s="43"/>
      <c r="P615" s="43"/>
      <c r="Q615" s="43"/>
      <c r="R615" s="43"/>
      <c r="S615" s="43"/>
      <c r="T615" s="43"/>
      <c r="U615" s="43"/>
      <c r="V615" s="43"/>
      <c r="W615" s="43"/>
      <c r="X615" s="43"/>
      <c r="Y615" s="43"/>
      <c r="Z615" s="43"/>
      <c r="AA615" s="43"/>
      <c r="AB615" s="43"/>
      <c r="AC615" s="43"/>
      <c r="AD615" s="43"/>
      <c r="AE615" s="43"/>
      <c r="AF615" s="43"/>
      <c r="AG615" s="43"/>
      <c r="AH615" s="43"/>
    </row>
    <row r="616" spans="1:34" s="44" customFormat="1" ht="30.75">
      <c r="A616" s="31" t="s">
        <v>324</v>
      </c>
      <c r="B616" s="24" t="s">
        <v>397</v>
      </c>
      <c r="C616" s="26" t="s">
        <v>325</v>
      </c>
      <c r="D616" s="26"/>
      <c r="E616" s="27">
        <f>SUM(E617,E621,E628)</f>
        <v>75879653</v>
      </c>
      <c r="F616" s="27">
        <f>SUM(F617,F621,F628)</f>
        <v>2197911</v>
      </c>
      <c r="G616" s="25">
        <f aca="true" t="shared" si="24" ref="G616:G683">SUM(E616:F616)</f>
        <v>78077564</v>
      </c>
      <c r="H616" s="38"/>
      <c r="I616" s="43"/>
      <c r="J616" s="43"/>
      <c r="K616" s="43"/>
      <c r="L616" s="43"/>
      <c r="M616" s="43"/>
      <c r="N616" s="43"/>
      <c r="O616" s="43"/>
      <c r="P616" s="43"/>
      <c r="Q616" s="43"/>
      <c r="R616" s="43"/>
      <c r="S616" s="43"/>
      <c r="T616" s="43"/>
      <c r="U616" s="43"/>
      <c r="V616" s="43"/>
      <c r="W616" s="43"/>
      <c r="X616" s="43"/>
      <c r="Y616" s="43"/>
      <c r="Z616" s="43"/>
      <c r="AA616" s="43"/>
      <c r="AB616" s="43"/>
      <c r="AC616" s="43"/>
      <c r="AD616" s="43"/>
      <c r="AE616" s="43"/>
      <c r="AF616" s="43"/>
      <c r="AG616" s="43"/>
      <c r="AH616" s="43"/>
    </row>
    <row r="617" spans="1:34" s="44" customFormat="1" ht="30.75">
      <c r="A617" s="31" t="s">
        <v>384</v>
      </c>
      <c r="B617" s="24" t="s">
        <v>397</v>
      </c>
      <c r="C617" s="26" t="s">
        <v>385</v>
      </c>
      <c r="D617" s="26"/>
      <c r="E617" s="27">
        <f aca="true" t="shared" si="25" ref="E617:F619">E618</f>
        <v>2550000</v>
      </c>
      <c r="F617" s="27">
        <f t="shared" si="25"/>
        <v>0</v>
      </c>
      <c r="G617" s="25">
        <f t="shared" si="24"/>
        <v>2550000</v>
      </c>
      <c r="H617" s="38"/>
      <c r="I617" s="43"/>
      <c r="J617" s="43"/>
      <c r="K617" s="43"/>
      <c r="L617" s="43"/>
      <c r="M617" s="43"/>
      <c r="N617" s="43"/>
      <c r="O617" s="43"/>
      <c r="P617" s="43"/>
      <c r="Q617" s="43"/>
      <c r="R617" s="43"/>
      <c r="S617" s="43"/>
      <c r="T617" s="43"/>
      <c r="U617" s="43"/>
      <c r="V617" s="43"/>
      <c r="W617" s="43"/>
      <c r="X617" s="43"/>
      <c r="Y617" s="43"/>
      <c r="Z617" s="43"/>
      <c r="AA617" s="43"/>
      <c r="AB617" s="43"/>
      <c r="AC617" s="43"/>
      <c r="AD617" s="43"/>
      <c r="AE617" s="43"/>
      <c r="AF617" s="43"/>
      <c r="AG617" s="43"/>
      <c r="AH617" s="43"/>
    </row>
    <row r="618" spans="1:34" s="44" customFormat="1" ht="30.75">
      <c r="A618" s="31" t="s">
        <v>398</v>
      </c>
      <c r="B618" s="24" t="s">
        <v>397</v>
      </c>
      <c r="C618" s="26" t="s">
        <v>399</v>
      </c>
      <c r="D618" s="26"/>
      <c r="E618" s="27">
        <f t="shared" si="25"/>
        <v>2550000</v>
      </c>
      <c r="F618" s="27">
        <f t="shared" si="25"/>
        <v>0</v>
      </c>
      <c r="G618" s="25">
        <f t="shared" si="24"/>
        <v>2550000</v>
      </c>
      <c r="H618" s="38"/>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row>
    <row r="619" spans="1:34" s="44" customFormat="1" ht="30.75">
      <c r="A619" s="31" t="s">
        <v>53</v>
      </c>
      <c r="B619" s="24" t="s">
        <v>397</v>
      </c>
      <c r="C619" s="26" t="s">
        <v>399</v>
      </c>
      <c r="D619" s="26">
        <v>600</v>
      </c>
      <c r="E619" s="49">
        <f t="shared" si="25"/>
        <v>2550000</v>
      </c>
      <c r="F619" s="49">
        <f t="shared" si="25"/>
        <v>0</v>
      </c>
      <c r="G619" s="25">
        <f t="shared" si="24"/>
        <v>2550000</v>
      </c>
      <c r="H619" s="38"/>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c r="AF619" s="43"/>
      <c r="AG619" s="43"/>
      <c r="AH619" s="43"/>
    </row>
    <row r="620" spans="1:34" s="44" customFormat="1" ht="15">
      <c r="A620" s="31" t="s">
        <v>54</v>
      </c>
      <c r="B620" s="24" t="s">
        <v>397</v>
      </c>
      <c r="C620" s="26" t="s">
        <v>399</v>
      </c>
      <c r="D620" s="26">
        <v>610</v>
      </c>
      <c r="E620" s="49">
        <v>2550000</v>
      </c>
      <c r="F620" s="49">
        <v>0</v>
      </c>
      <c r="G620" s="25">
        <f t="shared" si="24"/>
        <v>2550000</v>
      </c>
      <c r="H620" s="38"/>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c r="AF620" s="43"/>
      <c r="AG620" s="43"/>
      <c r="AH620" s="43"/>
    </row>
    <row r="621" spans="1:34" s="44" customFormat="1" ht="46.5">
      <c r="A621" s="61" t="s">
        <v>400</v>
      </c>
      <c r="B621" s="24" t="s">
        <v>397</v>
      </c>
      <c r="C621" s="26" t="s">
        <v>401</v>
      </c>
      <c r="D621" s="26"/>
      <c r="E621" s="27">
        <f>SUM(E622,E625)</f>
        <v>10512483</v>
      </c>
      <c r="F621" s="27">
        <f>SUM(F622,F625)</f>
        <v>0</v>
      </c>
      <c r="G621" s="25">
        <f t="shared" si="24"/>
        <v>10512483</v>
      </c>
      <c r="H621" s="38"/>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row>
    <row r="622" spans="1:34" s="44" customFormat="1" ht="30.75">
      <c r="A622" s="61" t="s">
        <v>402</v>
      </c>
      <c r="B622" s="24" t="s">
        <v>397</v>
      </c>
      <c r="C622" s="26" t="s">
        <v>403</v>
      </c>
      <c r="D622" s="26"/>
      <c r="E622" s="49">
        <f>E623</f>
        <v>10462483</v>
      </c>
      <c r="F622" s="49">
        <f>F623</f>
        <v>0</v>
      </c>
      <c r="G622" s="25">
        <f t="shared" si="24"/>
        <v>10462483</v>
      </c>
      <c r="H622" s="38"/>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row>
    <row r="623" spans="1:34" s="44" customFormat="1" ht="30.75">
      <c r="A623" s="31" t="s">
        <v>53</v>
      </c>
      <c r="B623" s="24" t="s">
        <v>397</v>
      </c>
      <c r="C623" s="26" t="s">
        <v>403</v>
      </c>
      <c r="D623" s="26">
        <v>600</v>
      </c>
      <c r="E623" s="49">
        <f>E624</f>
        <v>10462483</v>
      </c>
      <c r="F623" s="49">
        <f>F624</f>
        <v>0</v>
      </c>
      <c r="G623" s="25">
        <f t="shared" si="24"/>
        <v>10462483</v>
      </c>
      <c r="H623" s="38"/>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c r="AF623" s="43"/>
      <c r="AG623" s="43"/>
      <c r="AH623" s="43"/>
    </row>
    <row r="624" spans="1:34" s="44" customFormat="1" ht="15">
      <c r="A624" s="31" t="s">
        <v>54</v>
      </c>
      <c r="B624" s="24" t="s">
        <v>397</v>
      </c>
      <c r="C624" s="26" t="s">
        <v>403</v>
      </c>
      <c r="D624" s="26">
        <v>610</v>
      </c>
      <c r="E624" s="49">
        <v>10462483</v>
      </c>
      <c r="F624" s="49">
        <v>0</v>
      </c>
      <c r="G624" s="25">
        <f t="shared" si="24"/>
        <v>10462483</v>
      </c>
      <c r="H624" s="38"/>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c r="AH624" s="43"/>
    </row>
    <row r="625" spans="1:34" s="44" customFormat="1" ht="30.75">
      <c r="A625" s="61" t="s">
        <v>404</v>
      </c>
      <c r="B625" s="24" t="s">
        <v>397</v>
      </c>
      <c r="C625" s="26" t="s">
        <v>405</v>
      </c>
      <c r="D625" s="26"/>
      <c r="E625" s="49">
        <f>E626</f>
        <v>50000</v>
      </c>
      <c r="F625" s="49">
        <f>F626</f>
        <v>0</v>
      </c>
      <c r="G625" s="25">
        <f t="shared" si="24"/>
        <v>50000</v>
      </c>
      <c r="H625" s="38"/>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row>
    <row r="626" spans="1:34" s="44" customFormat="1" ht="30.75">
      <c r="A626" s="31" t="s">
        <v>53</v>
      </c>
      <c r="B626" s="24" t="s">
        <v>397</v>
      </c>
      <c r="C626" s="26" t="s">
        <v>405</v>
      </c>
      <c r="D626" s="26">
        <v>600</v>
      </c>
      <c r="E626" s="49">
        <f>E627</f>
        <v>50000</v>
      </c>
      <c r="F626" s="49">
        <f>F627</f>
        <v>0</v>
      </c>
      <c r="G626" s="25">
        <f t="shared" si="24"/>
        <v>50000</v>
      </c>
      <c r="H626" s="38"/>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row>
    <row r="627" spans="1:34" s="44" customFormat="1" ht="15">
      <c r="A627" s="31" t="s">
        <v>54</v>
      </c>
      <c r="B627" s="24" t="s">
        <v>397</v>
      </c>
      <c r="C627" s="26" t="s">
        <v>405</v>
      </c>
      <c r="D627" s="26">
        <v>610</v>
      </c>
      <c r="E627" s="49">
        <v>50000</v>
      </c>
      <c r="F627" s="49">
        <v>0</v>
      </c>
      <c r="G627" s="25">
        <f t="shared" si="24"/>
        <v>50000</v>
      </c>
      <c r="H627" s="38"/>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row>
    <row r="628" spans="1:34" s="44" customFormat="1" ht="30.75">
      <c r="A628" s="61" t="s">
        <v>406</v>
      </c>
      <c r="B628" s="24" t="s">
        <v>397</v>
      </c>
      <c r="C628" s="26" t="s">
        <v>407</v>
      </c>
      <c r="D628" s="26"/>
      <c r="E628" s="27">
        <f>SUM(E629,E636,E645,E648)</f>
        <v>62817170</v>
      </c>
      <c r="F628" s="27">
        <f>SUM(F629,F636,F645,F648)</f>
        <v>2197911</v>
      </c>
      <c r="G628" s="25">
        <f t="shared" si="24"/>
        <v>65015081</v>
      </c>
      <c r="H628" s="38"/>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row>
    <row r="629" spans="1:34" s="44" customFormat="1" ht="30.75">
      <c r="A629" s="61" t="s">
        <v>408</v>
      </c>
      <c r="B629" s="24" t="s">
        <v>397</v>
      </c>
      <c r="C629" s="26" t="s">
        <v>409</v>
      </c>
      <c r="D629" s="26"/>
      <c r="E629" s="49">
        <f>SUM(E630,E632,E634)</f>
        <v>11550000</v>
      </c>
      <c r="F629" s="49">
        <f>SUM(F630,F632,F634)</f>
        <v>0</v>
      </c>
      <c r="G629" s="25">
        <f t="shared" si="24"/>
        <v>11550000</v>
      </c>
      <c r="H629" s="38"/>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row>
    <row r="630" spans="1:34" s="44" customFormat="1" ht="62.25">
      <c r="A630" s="23" t="s">
        <v>660</v>
      </c>
      <c r="B630" s="24" t="s">
        <v>397</v>
      </c>
      <c r="C630" s="26" t="s">
        <v>409</v>
      </c>
      <c r="D630" s="24" t="s">
        <v>661</v>
      </c>
      <c r="E630" s="49">
        <f>E631</f>
        <v>11110000</v>
      </c>
      <c r="F630" s="49">
        <f>F631</f>
        <v>0</v>
      </c>
      <c r="G630" s="25">
        <f t="shared" si="24"/>
        <v>11110000</v>
      </c>
      <c r="H630" s="38"/>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row>
    <row r="631" spans="1:34" s="44" customFormat="1" ht="30.75">
      <c r="A631" s="23" t="s">
        <v>662</v>
      </c>
      <c r="B631" s="24" t="s">
        <v>397</v>
      </c>
      <c r="C631" s="26" t="s">
        <v>409</v>
      </c>
      <c r="D631" s="24" t="s">
        <v>663</v>
      </c>
      <c r="E631" s="49">
        <v>11110000</v>
      </c>
      <c r="F631" s="49">
        <v>0</v>
      </c>
      <c r="G631" s="25">
        <f t="shared" si="24"/>
        <v>11110000</v>
      </c>
      <c r="H631" s="38"/>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c r="AF631" s="43"/>
      <c r="AG631" s="43"/>
      <c r="AH631" s="43"/>
    </row>
    <row r="632" spans="1:34" s="44" customFormat="1" ht="30.75">
      <c r="A632" s="28" t="s">
        <v>664</v>
      </c>
      <c r="B632" s="24" t="s">
        <v>397</v>
      </c>
      <c r="C632" s="26" t="s">
        <v>409</v>
      </c>
      <c r="D632" s="24" t="s">
        <v>665</v>
      </c>
      <c r="E632" s="49">
        <f>E633</f>
        <v>430000</v>
      </c>
      <c r="F632" s="49">
        <f>F633</f>
        <v>0</v>
      </c>
      <c r="G632" s="25">
        <f t="shared" si="24"/>
        <v>430000</v>
      </c>
      <c r="H632" s="38"/>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c r="AF632" s="43"/>
      <c r="AG632" s="43"/>
      <c r="AH632" s="43"/>
    </row>
    <row r="633" spans="1:34" s="44" customFormat="1" ht="30.75">
      <c r="A633" s="28" t="s">
        <v>666</v>
      </c>
      <c r="B633" s="24" t="s">
        <v>397</v>
      </c>
      <c r="C633" s="26" t="s">
        <v>409</v>
      </c>
      <c r="D633" s="24" t="s">
        <v>667</v>
      </c>
      <c r="E633" s="49">
        <v>430000</v>
      </c>
      <c r="F633" s="49">
        <v>0</v>
      </c>
      <c r="G633" s="25">
        <f t="shared" si="24"/>
        <v>430000</v>
      </c>
      <c r="H633" s="38"/>
      <c r="I633" s="43"/>
      <c r="J633" s="43"/>
      <c r="K633" s="43"/>
      <c r="L633" s="43"/>
      <c r="M633" s="43"/>
      <c r="N633" s="43"/>
      <c r="O633" s="43"/>
      <c r="P633" s="43"/>
      <c r="Q633" s="43"/>
      <c r="R633" s="43"/>
      <c r="S633" s="43"/>
      <c r="T633" s="43"/>
      <c r="U633" s="43"/>
      <c r="V633" s="43"/>
      <c r="W633" s="43"/>
      <c r="X633" s="43"/>
      <c r="Y633" s="43"/>
      <c r="Z633" s="43"/>
      <c r="AA633" s="43"/>
      <c r="AB633" s="43"/>
      <c r="AC633" s="43"/>
      <c r="AD633" s="43"/>
      <c r="AE633" s="43"/>
      <c r="AF633" s="43"/>
      <c r="AG633" s="43"/>
      <c r="AH633" s="43"/>
    </row>
    <row r="634" spans="1:34" s="44" customFormat="1" ht="15">
      <c r="A634" s="28" t="s">
        <v>668</v>
      </c>
      <c r="B634" s="24" t="s">
        <v>397</v>
      </c>
      <c r="C634" s="26" t="s">
        <v>409</v>
      </c>
      <c r="D634" s="24" t="s">
        <v>669</v>
      </c>
      <c r="E634" s="49">
        <f>E635</f>
        <v>10000</v>
      </c>
      <c r="F634" s="49">
        <f>F635</f>
        <v>0</v>
      </c>
      <c r="G634" s="25">
        <f t="shared" si="24"/>
        <v>10000</v>
      </c>
      <c r="H634" s="38"/>
      <c r="I634" s="43"/>
      <c r="J634" s="43"/>
      <c r="K634" s="43"/>
      <c r="L634" s="43"/>
      <c r="M634" s="43"/>
      <c r="N634" s="43"/>
      <c r="O634" s="43"/>
      <c r="P634" s="43"/>
      <c r="Q634" s="43"/>
      <c r="R634" s="43"/>
      <c r="S634" s="43"/>
      <c r="T634" s="43"/>
      <c r="U634" s="43"/>
      <c r="V634" s="43"/>
      <c r="W634" s="43"/>
      <c r="X634" s="43"/>
      <c r="Y634" s="43"/>
      <c r="Z634" s="43"/>
      <c r="AA634" s="43"/>
      <c r="AB634" s="43"/>
      <c r="AC634" s="43"/>
      <c r="AD634" s="43"/>
      <c r="AE634" s="43"/>
      <c r="AF634" s="43"/>
      <c r="AG634" s="43"/>
      <c r="AH634" s="43"/>
    </row>
    <row r="635" spans="1:34" s="44" customFormat="1" ht="15">
      <c r="A635" s="28" t="s">
        <v>670</v>
      </c>
      <c r="B635" s="24" t="s">
        <v>397</v>
      </c>
      <c r="C635" s="26" t="s">
        <v>409</v>
      </c>
      <c r="D635" s="24" t="s">
        <v>671</v>
      </c>
      <c r="E635" s="49">
        <v>10000</v>
      </c>
      <c r="F635" s="49">
        <v>0</v>
      </c>
      <c r="G635" s="25">
        <f t="shared" si="24"/>
        <v>10000</v>
      </c>
      <c r="H635" s="38"/>
      <c r="I635" s="43"/>
      <c r="J635" s="43"/>
      <c r="K635" s="43"/>
      <c r="L635" s="43"/>
      <c r="M635" s="43"/>
      <c r="N635" s="43"/>
      <c r="O635" s="43"/>
      <c r="P635" s="43"/>
      <c r="Q635" s="43"/>
      <c r="R635" s="43"/>
      <c r="S635" s="43"/>
      <c r="T635" s="43"/>
      <c r="U635" s="43"/>
      <c r="V635" s="43"/>
      <c r="W635" s="43"/>
      <c r="X635" s="43"/>
      <c r="Y635" s="43"/>
      <c r="Z635" s="43"/>
      <c r="AA635" s="43"/>
      <c r="AB635" s="43"/>
      <c r="AC635" s="43"/>
      <c r="AD635" s="43"/>
      <c r="AE635" s="43"/>
      <c r="AF635" s="43"/>
      <c r="AG635" s="43"/>
      <c r="AH635" s="43"/>
    </row>
    <row r="636" spans="1:34" s="44" customFormat="1" ht="30.75">
      <c r="A636" s="61" t="s">
        <v>412</v>
      </c>
      <c r="B636" s="24" t="s">
        <v>397</v>
      </c>
      <c r="C636" s="26" t="s">
        <v>413</v>
      </c>
      <c r="D636" s="26"/>
      <c r="E636" s="49">
        <f>SUM(E637,E639,E643,E641)</f>
        <v>50167170</v>
      </c>
      <c r="F636" s="49">
        <f>SUM(F637,F639,F643,F641)</f>
        <v>1872911</v>
      </c>
      <c r="G636" s="25">
        <f t="shared" si="24"/>
        <v>52040081</v>
      </c>
      <c r="H636" s="38"/>
      <c r="I636" s="43"/>
      <c r="J636" s="43"/>
      <c r="K636" s="43"/>
      <c r="L636" s="43"/>
      <c r="M636" s="43"/>
      <c r="N636" s="43"/>
      <c r="O636" s="43"/>
      <c r="P636" s="43"/>
      <c r="Q636" s="43"/>
      <c r="R636" s="43"/>
      <c r="S636" s="43"/>
      <c r="T636" s="43"/>
      <c r="U636" s="43"/>
      <c r="V636" s="43"/>
      <c r="W636" s="43"/>
      <c r="X636" s="43"/>
      <c r="Y636" s="43"/>
      <c r="Z636" s="43"/>
      <c r="AA636" s="43"/>
      <c r="AB636" s="43"/>
      <c r="AC636" s="43"/>
      <c r="AD636" s="43"/>
      <c r="AE636" s="43"/>
      <c r="AF636" s="43"/>
      <c r="AG636" s="43"/>
      <c r="AH636" s="43"/>
    </row>
    <row r="637" spans="1:34" s="44" customFormat="1" ht="62.25">
      <c r="A637" s="23" t="s">
        <v>660</v>
      </c>
      <c r="B637" s="24" t="s">
        <v>397</v>
      </c>
      <c r="C637" s="26" t="s">
        <v>413</v>
      </c>
      <c r="D637" s="26">
        <v>100</v>
      </c>
      <c r="E637" s="49">
        <f>E638</f>
        <v>45164170</v>
      </c>
      <c r="F637" s="49">
        <f>F638</f>
        <v>1872911</v>
      </c>
      <c r="G637" s="25">
        <f t="shared" si="24"/>
        <v>47037081</v>
      </c>
      <c r="H637" s="38"/>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c r="AF637" s="43"/>
      <c r="AG637" s="43"/>
      <c r="AH637" s="43"/>
    </row>
    <row r="638" spans="1:34" s="44" customFormat="1" ht="15">
      <c r="A638" s="23" t="s">
        <v>46</v>
      </c>
      <c r="B638" s="24" t="s">
        <v>397</v>
      </c>
      <c r="C638" s="26" t="s">
        <v>413</v>
      </c>
      <c r="D638" s="26">
        <v>110</v>
      </c>
      <c r="E638" s="49">
        <v>45164170</v>
      </c>
      <c r="F638" s="49">
        <v>1872911</v>
      </c>
      <c r="G638" s="25">
        <f t="shared" si="24"/>
        <v>47037081</v>
      </c>
      <c r="H638" s="38"/>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c r="AF638" s="43"/>
      <c r="AG638" s="43"/>
      <c r="AH638" s="43"/>
    </row>
    <row r="639" spans="1:34" s="44" customFormat="1" ht="30.75">
      <c r="A639" s="28" t="s">
        <v>664</v>
      </c>
      <c r="B639" s="24" t="s">
        <v>397</v>
      </c>
      <c r="C639" s="26" t="s">
        <v>413</v>
      </c>
      <c r="D639" s="26">
        <v>200</v>
      </c>
      <c r="E639" s="49">
        <f>E640</f>
        <v>4978000</v>
      </c>
      <c r="F639" s="49">
        <f>F640</f>
        <v>0</v>
      </c>
      <c r="G639" s="25">
        <f t="shared" si="24"/>
        <v>4978000</v>
      </c>
      <c r="H639" s="38"/>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c r="AF639" s="43"/>
      <c r="AG639" s="43"/>
      <c r="AH639" s="43"/>
    </row>
    <row r="640" spans="1:34" s="44" customFormat="1" ht="30.75">
      <c r="A640" s="28" t="s">
        <v>666</v>
      </c>
      <c r="B640" s="24" t="s">
        <v>397</v>
      </c>
      <c r="C640" s="26" t="s">
        <v>413</v>
      </c>
      <c r="D640" s="26">
        <v>240</v>
      </c>
      <c r="E640" s="49">
        <v>4978000</v>
      </c>
      <c r="F640" s="49">
        <v>0</v>
      </c>
      <c r="G640" s="25">
        <f t="shared" si="24"/>
        <v>4978000</v>
      </c>
      <c r="H640" s="38"/>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c r="AF640" s="43"/>
      <c r="AG640" s="43"/>
      <c r="AH640" s="43"/>
    </row>
    <row r="641" spans="1:34" s="44" customFormat="1" ht="15">
      <c r="A641" s="31" t="s">
        <v>115</v>
      </c>
      <c r="B641" s="24" t="s">
        <v>397</v>
      </c>
      <c r="C641" s="26" t="s">
        <v>409</v>
      </c>
      <c r="D641" s="24" t="s">
        <v>410</v>
      </c>
      <c r="E641" s="49">
        <f>E642</f>
        <v>10000</v>
      </c>
      <c r="F641" s="49">
        <f>F642</f>
        <v>0</v>
      </c>
      <c r="G641" s="25">
        <f>SUM(E641:F641)</f>
        <v>10000</v>
      </c>
      <c r="H641" s="38"/>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row>
    <row r="642" spans="1:34" s="44" customFormat="1" ht="30.75">
      <c r="A642" s="48" t="s">
        <v>116</v>
      </c>
      <c r="B642" s="24" t="s">
        <v>397</v>
      </c>
      <c r="C642" s="26" t="s">
        <v>409</v>
      </c>
      <c r="D642" s="24" t="s">
        <v>411</v>
      </c>
      <c r="E642" s="49">
        <v>10000</v>
      </c>
      <c r="F642" s="49">
        <v>0</v>
      </c>
      <c r="G642" s="25">
        <f>SUM(E642:F642)</f>
        <v>10000</v>
      </c>
      <c r="H642" s="38"/>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c r="AF642" s="43"/>
      <c r="AG642" s="43"/>
      <c r="AH642" s="43"/>
    </row>
    <row r="643" spans="1:34" s="44" customFormat="1" ht="15">
      <c r="A643" s="28" t="s">
        <v>668</v>
      </c>
      <c r="B643" s="24" t="s">
        <v>397</v>
      </c>
      <c r="C643" s="26" t="s">
        <v>413</v>
      </c>
      <c r="D643" s="26">
        <v>800</v>
      </c>
      <c r="E643" s="49">
        <f>E644</f>
        <v>15000</v>
      </c>
      <c r="F643" s="49">
        <f>F644</f>
        <v>0</v>
      </c>
      <c r="G643" s="25">
        <f t="shared" si="24"/>
        <v>15000</v>
      </c>
      <c r="H643" s="38"/>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row>
    <row r="644" spans="1:34" s="44" customFormat="1" ht="15">
      <c r="A644" s="28" t="s">
        <v>670</v>
      </c>
      <c r="B644" s="24" t="s">
        <v>397</v>
      </c>
      <c r="C644" s="26" t="s">
        <v>413</v>
      </c>
      <c r="D644" s="26">
        <v>850</v>
      </c>
      <c r="E644" s="95">
        <v>15000</v>
      </c>
      <c r="F644" s="95">
        <v>0</v>
      </c>
      <c r="G644" s="25">
        <f t="shared" si="24"/>
        <v>15000</v>
      </c>
      <c r="H644" s="38"/>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row>
    <row r="645" spans="1:34" s="44" customFormat="1" ht="30.75">
      <c r="A645" s="61" t="s">
        <v>414</v>
      </c>
      <c r="B645" s="24" t="s">
        <v>397</v>
      </c>
      <c r="C645" s="26" t="s">
        <v>415</v>
      </c>
      <c r="D645" s="26"/>
      <c r="E645" s="49">
        <f>E646</f>
        <v>800000</v>
      </c>
      <c r="F645" s="49">
        <f>F646</f>
        <v>325000</v>
      </c>
      <c r="G645" s="25">
        <f t="shared" si="24"/>
        <v>1125000</v>
      </c>
      <c r="H645" s="38"/>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row>
    <row r="646" spans="1:34" s="44" customFormat="1" ht="15">
      <c r="A646" s="31" t="s">
        <v>115</v>
      </c>
      <c r="B646" s="24" t="s">
        <v>397</v>
      </c>
      <c r="C646" s="26" t="s">
        <v>415</v>
      </c>
      <c r="D646" s="26">
        <v>300</v>
      </c>
      <c r="E646" s="27">
        <f>E647</f>
        <v>800000</v>
      </c>
      <c r="F646" s="27">
        <f>F647</f>
        <v>325000</v>
      </c>
      <c r="G646" s="25">
        <f t="shared" si="24"/>
        <v>1125000</v>
      </c>
      <c r="H646" s="38"/>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row>
    <row r="647" spans="1:34" s="44" customFormat="1" ht="30.75">
      <c r="A647" s="31" t="s">
        <v>416</v>
      </c>
      <c r="B647" s="24" t="s">
        <v>397</v>
      </c>
      <c r="C647" s="26" t="s">
        <v>415</v>
      </c>
      <c r="D647" s="26">
        <v>330</v>
      </c>
      <c r="E647" s="49">
        <v>800000</v>
      </c>
      <c r="F647" s="49">
        <v>325000</v>
      </c>
      <c r="G647" s="25">
        <f t="shared" si="24"/>
        <v>1125000</v>
      </c>
      <c r="H647" s="38"/>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row>
    <row r="648" spans="1:34" s="44" customFormat="1" ht="15">
      <c r="A648" s="31" t="s">
        <v>417</v>
      </c>
      <c r="B648" s="24" t="s">
        <v>397</v>
      </c>
      <c r="C648" s="26" t="s">
        <v>418</v>
      </c>
      <c r="D648" s="26"/>
      <c r="E648" s="49">
        <f>E649</f>
        <v>300000</v>
      </c>
      <c r="F648" s="49">
        <f>F649</f>
        <v>0</v>
      </c>
      <c r="G648" s="25">
        <f t="shared" si="24"/>
        <v>300000</v>
      </c>
      <c r="H648" s="38"/>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c r="AF648" s="43"/>
      <c r="AG648" s="43"/>
      <c r="AH648" s="43"/>
    </row>
    <row r="649" spans="1:34" s="44" customFormat="1" ht="30.75">
      <c r="A649" s="31" t="s">
        <v>53</v>
      </c>
      <c r="B649" s="24" t="s">
        <v>397</v>
      </c>
      <c r="C649" s="26" t="s">
        <v>418</v>
      </c>
      <c r="D649" s="26">
        <v>600</v>
      </c>
      <c r="E649" s="49">
        <f>E650</f>
        <v>300000</v>
      </c>
      <c r="F649" s="49">
        <f>F650</f>
        <v>0</v>
      </c>
      <c r="G649" s="25">
        <f t="shared" si="24"/>
        <v>300000</v>
      </c>
      <c r="H649" s="38"/>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row>
    <row r="650" spans="1:34" s="44" customFormat="1" ht="15">
      <c r="A650" s="31" t="s">
        <v>54</v>
      </c>
      <c r="B650" s="24" t="s">
        <v>397</v>
      </c>
      <c r="C650" s="26" t="s">
        <v>418</v>
      </c>
      <c r="D650" s="26">
        <v>610</v>
      </c>
      <c r="E650" s="49">
        <v>300000</v>
      </c>
      <c r="F650" s="49">
        <v>0</v>
      </c>
      <c r="G650" s="25">
        <f t="shared" si="24"/>
        <v>300000</v>
      </c>
      <c r="H650" s="38"/>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c r="AF650" s="43"/>
      <c r="AG650" s="43"/>
      <c r="AH650" s="43"/>
    </row>
    <row r="651" spans="1:34" s="44" customFormat="1" ht="15">
      <c r="A651" s="31" t="s">
        <v>674</v>
      </c>
      <c r="B651" s="24" t="s">
        <v>397</v>
      </c>
      <c r="C651" s="26" t="s">
        <v>675</v>
      </c>
      <c r="D651" s="26"/>
      <c r="E651" s="49">
        <f aca="true" t="shared" si="26" ref="E651:F654">E652</f>
        <v>0</v>
      </c>
      <c r="F651" s="49">
        <f t="shared" si="26"/>
        <v>378000</v>
      </c>
      <c r="G651" s="25">
        <f t="shared" si="24"/>
        <v>378000</v>
      </c>
      <c r="H651" s="38"/>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row>
    <row r="652" spans="1:34" s="44" customFormat="1" ht="20.25" customHeight="1">
      <c r="A652" s="31" t="s">
        <v>676</v>
      </c>
      <c r="B652" s="24" t="s">
        <v>397</v>
      </c>
      <c r="C652" s="26" t="s">
        <v>677</v>
      </c>
      <c r="D652" s="26"/>
      <c r="E652" s="49">
        <f t="shared" si="26"/>
        <v>0</v>
      </c>
      <c r="F652" s="49">
        <f t="shared" si="26"/>
        <v>378000</v>
      </c>
      <c r="G652" s="25">
        <f t="shared" si="24"/>
        <v>378000</v>
      </c>
      <c r="H652" s="38"/>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row>
    <row r="653" spans="1:34" s="44" customFormat="1" ht="63.75" customHeight="1">
      <c r="A653" s="31" t="s">
        <v>642</v>
      </c>
      <c r="B653" s="24" t="s">
        <v>397</v>
      </c>
      <c r="C653" s="26" t="s">
        <v>641</v>
      </c>
      <c r="D653" s="26"/>
      <c r="E653" s="49">
        <f t="shared" si="26"/>
        <v>0</v>
      </c>
      <c r="F653" s="49">
        <f t="shared" si="26"/>
        <v>378000</v>
      </c>
      <c r="G653" s="25">
        <f t="shared" si="24"/>
        <v>378000</v>
      </c>
      <c r="H653" s="38"/>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c r="AF653" s="43"/>
      <c r="AG653" s="43"/>
      <c r="AH653" s="43"/>
    </row>
    <row r="654" spans="1:34" s="44" customFormat="1" ht="64.5" customHeight="1">
      <c r="A654" s="23" t="s">
        <v>660</v>
      </c>
      <c r="B654" s="24" t="s">
        <v>397</v>
      </c>
      <c r="C654" s="26" t="s">
        <v>641</v>
      </c>
      <c r="D654" s="24" t="s">
        <v>661</v>
      </c>
      <c r="E654" s="49">
        <f t="shared" si="26"/>
        <v>0</v>
      </c>
      <c r="F654" s="49">
        <f t="shared" si="26"/>
        <v>378000</v>
      </c>
      <c r="G654" s="25">
        <f t="shared" si="24"/>
        <v>378000</v>
      </c>
      <c r="H654" s="38"/>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row>
    <row r="655" spans="1:34" s="44" customFormat="1" ht="30.75">
      <c r="A655" s="23" t="s">
        <v>662</v>
      </c>
      <c r="B655" s="24" t="s">
        <v>397</v>
      </c>
      <c r="C655" s="26" t="s">
        <v>641</v>
      </c>
      <c r="D655" s="24" t="s">
        <v>663</v>
      </c>
      <c r="E655" s="49">
        <v>0</v>
      </c>
      <c r="F655" s="49">
        <v>378000</v>
      </c>
      <c r="G655" s="25">
        <f t="shared" si="24"/>
        <v>378000</v>
      </c>
      <c r="H655" s="38"/>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row>
    <row r="656" spans="1:34" s="44" customFormat="1" ht="15">
      <c r="A656" s="17" t="s">
        <v>419</v>
      </c>
      <c r="B656" s="18" t="s">
        <v>420</v>
      </c>
      <c r="C656" s="26"/>
      <c r="D656" s="26"/>
      <c r="E656" s="66">
        <f>SUM(E657,E714,E720)</f>
        <v>256626151</v>
      </c>
      <c r="F656" s="66">
        <f>SUM(F657,F714,F720)</f>
        <v>19585818.17</v>
      </c>
      <c r="G656" s="19">
        <f t="shared" si="24"/>
        <v>276211969.17</v>
      </c>
      <c r="H656" s="38"/>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row>
    <row r="657" spans="1:34" s="44" customFormat="1" ht="15.75">
      <c r="A657" s="20" t="s">
        <v>421</v>
      </c>
      <c r="B657" s="21" t="s">
        <v>422</v>
      </c>
      <c r="C657" s="26"/>
      <c r="D657" s="26"/>
      <c r="E657" s="47">
        <f>E658+E705</f>
        <v>213041151</v>
      </c>
      <c r="F657" s="47">
        <f>F658+F705</f>
        <v>19370988.17</v>
      </c>
      <c r="G657" s="22">
        <f t="shared" si="24"/>
        <v>232412139.17000002</v>
      </c>
      <c r="H657" s="38"/>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row>
    <row r="658" spans="1:34" s="44" customFormat="1" ht="30.75">
      <c r="A658" s="31" t="s">
        <v>372</v>
      </c>
      <c r="B658" s="24" t="s">
        <v>422</v>
      </c>
      <c r="C658" s="26" t="s">
        <v>373</v>
      </c>
      <c r="D658" s="26"/>
      <c r="E658" s="27">
        <f>E659+E695+E688</f>
        <v>212441151</v>
      </c>
      <c r="F658" s="27">
        <f>F659+F695+F688</f>
        <v>19334830.17</v>
      </c>
      <c r="G658" s="25">
        <f t="shared" si="24"/>
        <v>231775981.17000002</v>
      </c>
      <c r="H658" s="38"/>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row>
    <row r="659" spans="1:34" s="44" customFormat="1" ht="30.75">
      <c r="A659" s="61" t="s">
        <v>423</v>
      </c>
      <c r="B659" s="24" t="s">
        <v>422</v>
      </c>
      <c r="C659" s="26" t="s">
        <v>424</v>
      </c>
      <c r="D659" s="26"/>
      <c r="E659" s="27">
        <f>SUM(E663,E667,E671,E675,E678,E682,E685,E660)</f>
        <v>118569000</v>
      </c>
      <c r="F659" s="27">
        <f>SUM(F663,F667,F671,F675,F678,F682,F685,F660)</f>
        <v>8319410</v>
      </c>
      <c r="G659" s="25">
        <f t="shared" si="24"/>
        <v>126888410</v>
      </c>
      <c r="H659" s="38"/>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row>
    <row r="660" spans="1:34" s="44" customFormat="1" ht="65.25" customHeight="1">
      <c r="A660" s="61" t="s">
        <v>616</v>
      </c>
      <c r="B660" s="24" t="s">
        <v>422</v>
      </c>
      <c r="C660" s="26" t="s">
        <v>615</v>
      </c>
      <c r="D660" s="26"/>
      <c r="E660" s="27">
        <f>E661</f>
        <v>0</v>
      </c>
      <c r="F660" s="27">
        <f>F661</f>
        <v>200000</v>
      </c>
      <c r="G660" s="25">
        <f t="shared" si="24"/>
        <v>200000</v>
      </c>
      <c r="H660" s="38"/>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row>
    <row r="661" spans="1:34" s="44" customFormat="1" ht="30.75">
      <c r="A661" s="31" t="s">
        <v>53</v>
      </c>
      <c r="B661" s="24" t="s">
        <v>422</v>
      </c>
      <c r="C661" s="26" t="s">
        <v>615</v>
      </c>
      <c r="D661" s="26">
        <v>600</v>
      </c>
      <c r="E661" s="27">
        <f>E662</f>
        <v>0</v>
      </c>
      <c r="F661" s="27">
        <f>F662</f>
        <v>200000</v>
      </c>
      <c r="G661" s="25">
        <f t="shared" si="24"/>
        <v>200000</v>
      </c>
      <c r="H661" s="38"/>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row>
    <row r="662" spans="1:34" s="44" customFormat="1" ht="15">
      <c r="A662" s="31" t="s">
        <v>54</v>
      </c>
      <c r="B662" s="24" t="s">
        <v>422</v>
      </c>
      <c r="C662" s="26" t="s">
        <v>615</v>
      </c>
      <c r="D662" s="26">
        <v>610</v>
      </c>
      <c r="E662" s="27">
        <v>0</v>
      </c>
      <c r="F662" s="27">
        <v>200000</v>
      </c>
      <c r="G662" s="25">
        <f t="shared" si="24"/>
        <v>200000</v>
      </c>
      <c r="H662" s="38"/>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c r="AF662" s="43"/>
      <c r="AG662" s="43"/>
      <c r="AH662" s="43"/>
    </row>
    <row r="663" spans="1:34" s="44" customFormat="1" ht="15">
      <c r="A663" s="61" t="s">
        <v>425</v>
      </c>
      <c r="B663" s="24" t="s">
        <v>422</v>
      </c>
      <c r="C663" s="26" t="s">
        <v>426</v>
      </c>
      <c r="D663" s="26"/>
      <c r="E663" s="27">
        <f>SUM(E664)</f>
        <v>5000000</v>
      </c>
      <c r="F663" s="27">
        <f>SUM(F664)</f>
        <v>3155568</v>
      </c>
      <c r="G663" s="25">
        <f t="shared" si="24"/>
        <v>8155568</v>
      </c>
      <c r="H663" s="38"/>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row>
    <row r="664" spans="1:34" s="44" customFormat="1" ht="30.75">
      <c r="A664" s="31" t="s">
        <v>53</v>
      </c>
      <c r="B664" s="24" t="s">
        <v>422</v>
      </c>
      <c r="C664" s="26" t="s">
        <v>426</v>
      </c>
      <c r="D664" s="26">
        <v>600</v>
      </c>
      <c r="E664" s="27">
        <f>SUM(E665:E666)</f>
        <v>5000000</v>
      </c>
      <c r="F664" s="27">
        <f>SUM(F665:F666)</f>
        <v>3155568</v>
      </c>
      <c r="G664" s="25">
        <f t="shared" si="24"/>
        <v>8155568</v>
      </c>
      <c r="H664" s="38"/>
      <c r="I664" s="43"/>
      <c r="J664" s="43"/>
      <c r="K664" s="43"/>
      <c r="L664" s="43"/>
      <c r="M664" s="43"/>
      <c r="N664" s="43"/>
      <c r="O664" s="43"/>
      <c r="P664" s="43"/>
      <c r="Q664" s="43"/>
      <c r="R664" s="43"/>
      <c r="S664" s="43"/>
      <c r="T664" s="43"/>
      <c r="U664" s="43"/>
      <c r="V664" s="43"/>
      <c r="W664" s="43"/>
      <c r="X664" s="43"/>
      <c r="Y664" s="43"/>
      <c r="Z664" s="43"/>
      <c r="AA664" s="43"/>
      <c r="AB664" s="43"/>
      <c r="AC664" s="43"/>
      <c r="AD664" s="43"/>
      <c r="AE664" s="43"/>
      <c r="AF664" s="43"/>
      <c r="AG664" s="43"/>
      <c r="AH664" s="43"/>
    </row>
    <row r="665" spans="1:34" s="44" customFormat="1" ht="15">
      <c r="A665" s="31" t="s">
        <v>54</v>
      </c>
      <c r="B665" s="24" t="s">
        <v>422</v>
      </c>
      <c r="C665" s="26" t="s">
        <v>426</v>
      </c>
      <c r="D665" s="26">
        <v>610</v>
      </c>
      <c r="E665" s="27">
        <v>4500000</v>
      </c>
      <c r="F665" s="27">
        <f>140000+34116+1000000+200000</f>
        <v>1374116</v>
      </c>
      <c r="G665" s="25">
        <f t="shared" si="24"/>
        <v>5874116</v>
      </c>
      <c r="H665" s="38"/>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c r="AF665" s="43"/>
      <c r="AG665" s="43"/>
      <c r="AH665" s="43"/>
    </row>
    <row r="666" spans="1:34" s="44" customFormat="1" ht="15">
      <c r="A666" s="31" t="s">
        <v>295</v>
      </c>
      <c r="B666" s="24" t="s">
        <v>422</v>
      </c>
      <c r="C666" s="26" t="s">
        <v>426</v>
      </c>
      <c r="D666" s="26">
        <v>620</v>
      </c>
      <c r="E666" s="27">
        <v>500000</v>
      </c>
      <c r="F666" s="27">
        <f>1481452+300000</f>
        <v>1781452</v>
      </c>
      <c r="G666" s="25">
        <f t="shared" si="24"/>
        <v>2281452</v>
      </c>
      <c r="H666" s="38"/>
      <c r="I666" s="43"/>
      <c r="J666" s="43"/>
      <c r="K666" s="43"/>
      <c r="L666" s="43"/>
      <c r="M666" s="43"/>
      <c r="N666" s="43"/>
      <c r="O666" s="43"/>
      <c r="P666" s="43"/>
      <c r="Q666" s="43"/>
      <c r="R666" s="43"/>
      <c r="S666" s="43"/>
      <c r="T666" s="43"/>
      <c r="U666" s="43"/>
      <c r="V666" s="43"/>
      <c r="W666" s="43"/>
      <c r="X666" s="43"/>
      <c r="Y666" s="43"/>
      <c r="Z666" s="43"/>
      <c r="AA666" s="43"/>
      <c r="AB666" s="43"/>
      <c r="AC666" s="43"/>
      <c r="AD666" s="43"/>
      <c r="AE666" s="43"/>
      <c r="AF666" s="43"/>
      <c r="AG666" s="43"/>
      <c r="AH666" s="43"/>
    </row>
    <row r="667" spans="1:34" s="44" customFormat="1" ht="30.75">
      <c r="A667" s="61" t="s">
        <v>427</v>
      </c>
      <c r="B667" s="24" t="s">
        <v>422</v>
      </c>
      <c r="C667" s="26" t="s">
        <v>428</v>
      </c>
      <c r="D667" s="26"/>
      <c r="E667" s="27">
        <f>E668</f>
        <v>96369000</v>
      </c>
      <c r="F667" s="27">
        <f>F668</f>
        <v>3750000</v>
      </c>
      <c r="G667" s="25">
        <f t="shared" si="24"/>
        <v>100119000</v>
      </c>
      <c r="H667" s="38"/>
      <c r="I667" s="43"/>
      <c r="J667" s="43"/>
      <c r="K667" s="43"/>
      <c r="L667" s="43"/>
      <c r="M667" s="43"/>
      <c r="N667" s="43"/>
      <c r="O667" s="43"/>
      <c r="P667" s="43"/>
      <c r="Q667" s="43"/>
      <c r="R667" s="43"/>
      <c r="S667" s="43"/>
      <c r="T667" s="43"/>
      <c r="U667" s="43"/>
      <c r="V667" s="43"/>
      <c r="W667" s="43"/>
      <c r="X667" s="43"/>
      <c r="Y667" s="43"/>
      <c r="Z667" s="43"/>
      <c r="AA667" s="43"/>
      <c r="AB667" s="43"/>
      <c r="AC667" s="43"/>
      <c r="AD667" s="43"/>
      <c r="AE667" s="43"/>
      <c r="AF667" s="43"/>
      <c r="AG667" s="43"/>
      <c r="AH667" s="43"/>
    </row>
    <row r="668" spans="1:34" s="44" customFormat="1" ht="30.75">
      <c r="A668" s="31" t="s">
        <v>53</v>
      </c>
      <c r="B668" s="24" t="s">
        <v>422</v>
      </c>
      <c r="C668" s="26" t="s">
        <v>428</v>
      </c>
      <c r="D668" s="26">
        <v>600</v>
      </c>
      <c r="E668" s="27">
        <f>E669+E670</f>
        <v>96369000</v>
      </c>
      <c r="F668" s="27">
        <f>F669+F670</f>
        <v>3750000</v>
      </c>
      <c r="G668" s="25">
        <f t="shared" si="24"/>
        <v>100119000</v>
      </c>
      <c r="H668" s="38"/>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c r="AF668" s="43"/>
      <c r="AG668" s="43"/>
      <c r="AH668" s="43"/>
    </row>
    <row r="669" spans="1:34" s="44" customFormat="1" ht="15">
      <c r="A669" s="31" t="s">
        <v>54</v>
      </c>
      <c r="B669" s="24" t="s">
        <v>422</v>
      </c>
      <c r="C669" s="26" t="s">
        <v>428</v>
      </c>
      <c r="D669" s="26">
        <v>610</v>
      </c>
      <c r="E669" s="49">
        <v>51329000</v>
      </c>
      <c r="F669" s="49">
        <f>-50000-34116+3834116</f>
        <v>3750000</v>
      </c>
      <c r="G669" s="25">
        <f t="shared" si="24"/>
        <v>55079000</v>
      </c>
      <c r="H669" s="38"/>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row>
    <row r="670" spans="1:34" s="44" customFormat="1" ht="15">
      <c r="A670" s="31" t="s">
        <v>295</v>
      </c>
      <c r="B670" s="24" t="s">
        <v>422</v>
      </c>
      <c r="C670" s="26" t="s">
        <v>428</v>
      </c>
      <c r="D670" s="26">
        <v>620</v>
      </c>
      <c r="E670" s="49">
        <v>45040000</v>
      </c>
      <c r="F670" s="49">
        <v>0</v>
      </c>
      <c r="G670" s="25">
        <f t="shared" si="24"/>
        <v>45040000</v>
      </c>
      <c r="H670" s="38"/>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row>
    <row r="671" spans="1:34" s="44" customFormat="1" ht="46.5">
      <c r="A671" s="61" t="s">
        <v>429</v>
      </c>
      <c r="B671" s="24" t="s">
        <v>422</v>
      </c>
      <c r="C671" s="26" t="s">
        <v>430</v>
      </c>
      <c r="D671" s="26"/>
      <c r="E671" s="27">
        <f>E672</f>
        <v>10200000</v>
      </c>
      <c r="F671" s="27">
        <f>F672</f>
        <v>1213842</v>
      </c>
      <c r="G671" s="25">
        <f t="shared" si="24"/>
        <v>11413842</v>
      </c>
      <c r="H671" s="38"/>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row>
    <row r="672" spans="1:34" s="44" customFormat="1" ht="30.75">
      <c r="A672" s="31" t="s">
        <v>53</v>
      </c>
      <c r="B672" s="24" t="s">
        <v>422</v>
      </c>
      <c r="C672" s="26" t="s">
        <v>430</v>
      </c>
      <c r="D672" s="26">
        <v>600</v>
      </c>
      <c r="E672" s="27">
        <f>E673+E674</f>
        <v>10200000</v>
      </c>
      <c r="F672" s="27">
        <f>F673+F674</f>
        <v>1213842</v>
      </c>
      <c r="G672" s="25">
        <f t="shared" si="24"/>
        <v>11413842</v>
      </c>
      <c r="H672" s="38"/>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c r="AF672" s="43"/>
      <c r="AG672" s="43"/>
      <c r="AH672" s="43"/>
    </row>
    <row r="673" spans="1:34" s="44" customFormat="1" ht="15">
      <c r="A673" s="31" t="s">
        <v>54</v>
      </c>
      <c r="B673" s="24" t="s">
        <v>422</v>
      </c>
      <c r="C673" s="26" t="s">
        <v>430</v>
      </c>
      <c r="D673" s="26">
        <v>610</v>
      </c>
      <c r="E673" s="27">
        <v>8700000</v>
      </c>
      <c r="F673" s="27">
        <v>250000</v>
      </c>
      <c r="G673" s="25">
        <f t="shared" si="24"/>
        <v>8950000</v>
      </c>
      <c r="H673" s="38"/>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c r="AF673" s="43"/>
      <c r="AG673" s="43"/>
      <c r="AH673" s="43"/>
    </row>
    <row r="674" spans="1:34" s="44" customFormat="1" ht="15">
      <c r="A674" s="31" t="s">
        <v>295</v>
      </c>
      <c r="B674" s="24" t="s">
        <v>422</v>
      </c>
      <c r="C674" s="26" t="s">
        <v>430</v>
      </c>
      <c r="D674" s="26">
        <v>620</v>
      </c>
      <c r="E674" s="27">
        <v>1500000</v>
      </c>
      <c r="F674" s="27">
        <f>-36158+1000000</f>
        <v>963842</v>
      </c>
      <c r="G674" s="25">
        <f t="shared" si="24"/>
        <v>2463842</v>
      </c>
      <c r="H674" s="38"/>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c r="AF674" s="43"/>
      <c r="AG674" s="43"/>
      <c r="AH674" s="43"/>
    </row>
    <row r="675" spans="1:34" s="44" customFormat="1" ht="33.75" customHeight="1">
      <c r="A675" s="61" t="s">
        <v>431</v>
      </c>
      <c r="B675" s="24" t="s">
        <v>422</v>
      </c>
      <c r="C675" s="26" t="s">
        <v>432</v>
      </c>
      <c r="D675" s="26"/>
      <c r="E675" s="27">
        <f>E676</f>
        <v>6000000</v>
      </c>
      <c r="F675" s="27">
        <f>F676</f>
        <v>0</v>
      </c>
      <c r="G675" s="25">
        <f t="shared" si="24"/>
        <v>6000000</v>
      </c>
      <c r="H675" s="38"/>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c r="AF675" s="43"/>
      <c r="AG675" s="43"/>
      <c r="AH675" s="43"/>
    </row>
    <row r="676" spans="1:34" s="44" customFormat="1" ht="15">
      <c r="A676" s="31" t="s">
        <v>668</v>
      </c>
      <c r="B676" s="24" t="s">
        <v>422</v>
      </c>
      <c r="C676" s="26" t="s">
        <v>432</v>
      </c>
      <c r="D676" s="26">
        <v>800</v>
      </c>
      <c r="E676" s="27">
        <f>E677</f>
        <v>6000000</v>
      </c>
      <c r="F676" s="27">
        <f>F677</f>
        <v>0</v>
      </c>
      <c r="G676" s="25">
        <f t="shared" si="24"/>
        <v>6000000</v>
      </c>
      <c r="H676" s="38"/>
      <c r="I676" s="43"/>
      <c r="J676" s="43"/>
      <c r="K676" s="43"/>
      <c r="L676" s="43"/>
      <c r="M676" s="43"/>
      <c r="N676" s="43"/>
      <c r="O676" s="43"/>
      <c r="P676" s="43"/>
      <c r="Q676" s="43"/>
      <c r="R676" s="43"/>
      <c r="S676" s="43"/>
      <c r="T676" s="43"/>
      <c r="U676" s="43"/>
      <c r="V676" s="43"/>
      <c r="W676" s="43"/>
      <c r="X676" s="43"/>
      <c r="Y676" s="43"/>
      <c r="Z676" s="43"/>
      <c r="AA676" s="43"/>
      <c r="AB676" s="43"/>
      <c r="AC676" s="43"/>
      <c r="AD676" s="43"/>
      <c r="AE676" s="43"/>
      <c r="AF676" s="43"/>
      <c r="AG676" s="43"/>
      <c r="AH676" s="43"/>
    </row>
    <row r="677" spans="1:34" s="44" customFormat="1" ht="46.5">
      <c r="A677" s="31" t="s">
        <v>142</v>
      </c>
      <c r="B677" s="24" t="s">
        <v>422</v>
      </c>
      <c r="C677" s="26" t="s">
        <v>432</v>
      </c>
      <c r="D677" s="26">
        <v>810</v>
      </c>
      <c r="E677" s="27">
        <v>6000000</v>
      </c>
      <c r="F677" s="27">
        <v>0</v>
      </c>
      <c r="G677" s="25">
        <f t="shared" si="24"/>
        <v>6000000</v>
      </c>
      <c r="H677" s="38"/>
      <c r="I677" s="43"/>
      <c r="J677" s="43"/>
      <c r="K677" s="43"/>
      <c r="L677" s="43"/>
      <c r="M677" s="43"/>
      <c r="N677" s="43"/>
      <c r="O677" s="43"/>
      <c r="P677" s="43"/>
      <c r="Q677" s="43"/>
      <c r="R677" s="43"/>
      <c r="S677" s="43"/>
      <c r="T677" s="43"/>
      <c r="U677" s="43"/>
      <c r="V677" s="43"/>
      <c r="W677" s="43"/>
      <c r="X677" s="43"/>
      <c r="Y677" s="43"/>
      <c r="Z677" s="43"/>
      <c r="AA677" s="43"/>
      <c r="AB677" s="43"/>
      <c r="AC677" s="43"/>
      <c r="AD677" s="43"/>
      <c r="AE677" s="43"/>
      <c r="AF677" s="43"/>
      <c r="AG677" s="43"/>
      <c r="AH677" s="43"/>
    </row>
    <row r="678" spans="1:34" s="44" customFormat="1" ht="30.75">
      <c r="A678" s="31" t="s">
        <v>433</v>
      </c>
      <c r="B678" s="24" t="s">
        <v>422</v>
      </c>
      <c r="C678" s="26" t="s">
        <v>434</v>
      </c>
      <c r="D678" s="26"/>
      <c r="E678" s="27">
        <f>E679</f>
        <v>300000</v>
      </c>
      <c r="F678" s="27">
        <f>F679</f>
        <v>0</v>
      </c>
      <c r="G678" s="25">
        <f t="shared" si="24"/>
        <v>300000</v>
      </c>
      <c r="H678" s="38"/>
      <c r="I678" s="43"/>
      <c r="J678" s="43"/>
      <c r="K678" s="43"/>
      <c r="L678" s="43"/>
      <c r="M678" s="43"/>
      <c r="N678" s="43"/>
      <c r="O678" s="43"/>
      <c r="P678" s="43"/>
      <c r="Q678" s="43"/>
      <c r="R678" s="43"/>
      <c r="S678" s="43"/>
      <c r="T678" s="43"/>
      <c r="U678" s="43"/>
      <c r="V678" s="43"/>
      <c r="W678" s="43"/>
      <c r="X678" s="43"/>
      <c r="Y678" s="43"/>
      <c r="Z678" s="43"/>
      <c r="AA678" s="43"/>
      <c r="AB678" s="43"/>
      <c r="AC678" s="43"/>
      <c r="AD678" s="43"/>
      <c r="AE678" s="43"/>
      <c r="AF678" s="43"/>
      <c r="AG678" s="43"/>
      <c r="AH678" s="43"/>
    </row>
    <row r="679" spans="1:34" s="44" customFormat="1" ht="30.75">
      <c r="A679" s="31" t="s">
        <v>53</v>
      </c>
      <c r="B679" s="24" t="s">
        <v>422</v>
      </c>
      <c r="C679" s="26" t="s">
        <v>434</v>
      </c>
      <c r="D679" s="26">
        <v>600</v>
      </c>
      <c r="E679" s="27">
        <f>E680+E681</f>
        <v>300000</v>
      </c>
      <c r="F679" s="27">
        <f>F680+F681</f>
        <v>0</v>
      </c>
      <c r="G679" s="25">
        <f t="shared" si="24"/>
        <v>300000</v>
      </c>
      <c r="H679" s="38"/>
      <c r="I679" s="43"/>
      <c r="J679" s="43"/>
      <c r="K679" s="43"/>
      <c r="L679" s="43"/>
      <c r="M679" s="43"/>
      <c r="N679" s="43"/>
      <c r="O679" s="43"/>
      <c r="P679" s="43"/>
      <c r="Q679" s="43"/>
      <c r="R679" s="43"/>
      <c r="S679" s="43"/>
      <c r="T679" s="43"/>
      <c r="U679" s="43"/>
      <c r="V679" s="43"/>
      <c r="W679" s="43"/>
      <c r="X679" s="43"/>
      <c r="Y679" s="43"/>
      <c r="Z679" s="43"/>
      <c r="AA679" s="43"/>
      <c r="AB679" s="43"/>
      <c r="AC679" s="43"/>
      <c r="AD679" s="43"/>
      <c r="AE679" s="43"/>
      <c r="AF679" s="43"/>
      <c r="AG679" s="43"/>
      <c r="AH679" s="43"/>
    </row>
    <row r="680" spans="1:34" s="44" customFormat="1" ht="15">
      <c r="A680" s="31" t="s">
        <v>54</v>
      </c>
      <c r="B680" s="24" t="s">
        <v>422</v>
      </c>
      <c r="C680" s="26" t="s">
        <v>434</v>
      </c>
      <c r="D680" s="26">
        <v>610</v>
      </c>
      <c r="E680" s="27">
        <v>100000</v>
      </c>
      <c r="F680" s="27">
        <v>0</v>
      </c>
      <c r="G680" s="25">
        <f t="shared" si="24"/>
        <v>100000</v>
      </c>
      <c r="H680" s="38"/>
      <c r="I680" s="43"/>
      <c r="J680" s="43"/>
      <c r="K680" s="43"/>
      <c r="L680" s="43"/>
      <c r="M680" s="43"/>
      <c r="N680" s="43"/>
      <c r="O680" s="43"/>
      <c r="P680" s="43"/>
      <c r="Q680" s="43"/>
      <c r="R680" s="43"/>
      <c r="S680" s="43"/>
      <c r="T680" s="43"/>
      <c r="U680" s="43"/>
      <c r="V680" s="43"/>
      <c r="W680" s="43"/>
      <c r="X680" s="43"/>
      <c r="Y680" s="43"/>
      <c r="Z680" s="43"/>
      <c r="AA680" s="43"/>
      <c r="AB680" s="43"/>
      <c r="AC680" s="43"/>
      <c r="AD680" s="43"/>
      <c r="AE680" s="43"/>
      <c r="AF680" s="43"/>
      <c r="AG680" s="43"/>
      <c r="AH680" s="43"/>
    </row>
    <row r="681" spans="1:34" s="44" customFormat="1" ht="15">
      <c r="A681" s="31" t="s">
        <v>295</v>
      </c>
      <c r="B681" s="24" t="s">
        <v>422</v>
      </c>
      <c r="C681" s="26" t="s">
        <v>434</v>
      </c>
      <c r="D681" s="26">
        <v>620</v>
      </c>
      <c r="E681" s="27">
        <v>200000</v>
      </c>
      <c r="F681" s="27">
        <v>0</v>
      </c>
      <c r="G681" s="25">
        <f t="shared" si="24"/>
        <v>200000</v>
      </c>
      <c r="H681" s="38"/>
      <c r="I681" s="43"/>
      <c r="J681" s="43"/>
      <c r="K681" s="43"/>
      <c r="L681" s="43"/>
      <c r="M681" s="43"/>
      <c r="N681" s="43"/>
      <c r="O681" s="43"/>
      <c r="P681" s="43"/>
      <c r="Q681" s="43"/>
      <c r="R681" s="43"/>
      <c r="S681" s="43"/>
      <c r="T681" s="43"/>
      <c r="U681" s="43"/>
      <c r="V681" s="43"/>
      <c r="W681" s="43"/>
      <c r="X681" s="43"/>
      <c r="Y681" s="43"/>
      <c r="Z681" s="43"/>
      <c r="AA681" s="43"/>
      <c r="AB681" s="43"/>
      <c r="AC681" s="43"/>
      <c r="AD681" s="43"/>
      <c r="AE681" s="43"/>
      <c r="AF681" s="43"/>
      <c r="AG681" s="43"/>
      <c r="AH681" s="43"/>
    </row>
    <row r="682" spans="1:34" s="44" customFormat="1" ht="30.75">
      <c r="A682" s="61" t="s">
        <v>435</v>
      </c>
      <c r="B682" s="24" t="s">
        <v>422</v>
      </c>
      <c r="C682" s="26" t="s">
        <v>436</v>
      </c>
      <c r="D682" s="26"/>
      <c r="E682" s="49">
        <f>E683</f>
        <v>500000</v>
      </c>
      <c r="F682" s="49">
        <f>F683</f>
        <v>0</v>
      </c>
      <c r="G682" s="25">
        <f t="shared" si="24"/>
        <v>500000</v>
      </c>
      <c r="H682" s="38"/>
      <c r="I682" s="43"/>
      <c r="J682" s="43"/>
      <c r="K682" s="43"/>
      <c r="L682" s="43"/>
      <c r="M682" s="43"/>
      <c r="N682" s="43"/>
      <c r="O682" s="43"/>
      <c r="P682" s="43"/>
      <c r="Q682" s="43"/>
      <c r="R682" s="43"/>
      <c r="S682" s="43"/>
      <c r="T682" s="43"/>
      <c r="U682" s="43"/>
      <c r="V682" s="43"/>
      <c r="W682" s="43"/>
      <c r="X682" s="43"/>
      <c r="Y682" s="43"/>
      <c r="Z682" s="43"/>
      <c r="AA682" s="43"/>
      <c r="AB682" s="43"/>
      <c r="AC682" s="43"/>
      <c r="AD682" s="43"/>
      <c r="AE682" s="43"/>
      <c r="AF682" s="43"/>
      <c r="AG682" s="43"/>
      <c r="AH682" s="43"/>
    </row>
    <row r="683" spans="1:34" s="44" customFormat="1" ht="30.75">
      <c r="A683" s="31" t="s">
        <v>53</v>
      </c>
      <c r="B683" s="24" t="s">
        <v>422</v>
      </c>
      <c r="C683" s="26" t="s">
        <v>436</v>
      </c>
      <c r="D683" s="26">
        <v>600</v>
      </c>
      <c r="E683" s="49">
        <f>E684</f>
        <v>500000</v>
      </c>
      <c r="F683" s="49">
        <f>F684</f>
        <v>0</v>
      </c>
      <c r="G683" s="25">
        <f t="shared" si="24"/>
        <v>500000</v>
      </c>
      <c r="H683" s="38"/>
      <c r="I683" s="43"/>
      <c r="J683" s="43"/>
      <c r="K683" s="43"/>
      <c r="L683" s="43"/>
      <c r="M683" s="43"/>
      <c r="N683" s="43"/>
      <c r="O683" s="43"/>
      <c r="P683" s="43"/>
      <c r="Q683" s="43"/>
      <c r="R683" s="43"/>
      <c r="S683" s="43"/>
      <c r="T683" s="43"/>
      <c r="U683" s="43"/>
      <c r="V683" s="43"/>
      <c r="W683" s="43"/>
      <c r="X683" s="43"/>
      <c r="Y683" s="43"/>
      <c r="Z683" s="43"/>
      <c r="AA683" s="43"/>
      <c r="AB683" s="43"/>
      <c r="AC683" s="43"/>
      <c r="AD683" s="43"/>
      <c r="AE683" s="43"/>
      <c r="AF683" s="43"/>
      <c r="AG683" s="43"/>
      <c r="AH683" s="43"/>
    </row>
    <row r="684" spans="1:34" s="44" customFormat="1" ht="15">
      <c r="A684" s="31" t="s">
        <v>54</v>
      </c>
      <c r="B684" s="24" t="s">
        <v>422</v>
      </c>
      <c r="C684" s="26" t="s">
        <v>436</v>
      </c>
      <c r="D684" s="26">
        <v>610</v>
      </c>
      <c r="E684" s="49">
        <v>500000</v>
      </c>
      <c r="F684" s="49">
        <v>0</v>
      </c>
      <c r="G684" s="25">
        <f aca="true" t="shared" si="27" ref="G684:G752">SUM(E684:F684)</f>
        <v>500000</v>
      </c>
      <c r="H684" s="38"/>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c r="AF684" s="43"/>
      <c r="AG684" s="43"/>
      <c r="AH684" s="43"/>
    </row>
    <row r="685" spans="1:34" s="44" customFormat="1" ht="15">
      <c r="A685" s="31" t="s">
        <v>437</v>
      </c>
      <c r="B685" s="24" t="s">
        <v>422</v>
      </c>
      <c r="C685" s="26" t="s">
        <v>438</v>
      </c>
      <c r="D685" s="26"/>
      <c r="E685" s="49">
        <f>E686</f>
        <v>200000</v>
      </c>
      <c r="F685" s="49">
        <f>F686</f>
        <v>0</v>
      </c>
      <c r="G685" s="25">
        <f t="shared" si="27"/>
        <v>200000</v>
      </c>
      <c r="H685" s="38"/>
      <c r="I685" s="43"/>
      <c r="J685" s="43"/>
      <c r="K685" s="43"/>
      <c r="L685" s="43"/>
      <c r="M685" s="43"/>
      <c r="N685" s="43"/>
      <c r="O685" s="43"/>
      <c r="P685" s="43"/>
      <c r="Q685" s="43"/>
      <c r="R685" s="43"/>
      <c r="S685" s="43"/>
      <c r="T685" s="43"/>
      <c r="U685" s="43"/>
      <c r="V685" s="43"/>
      <c r="W685" s="43"/>
      <c r="X685" s="43"/>
      <c r="Y685" s="43"/>
      <c r="Z685" s="43"/>
      <c r="AA685" s="43"/>
      <c r="AB685" s="43"/>
      <c r="AC685" s="43"/>
      <c r="AD685" s="43"/>
      <c r="AE685" s="43"/>
      <c r="AF685" s="43"/>
      <c r="AG685" s="43"/>
      <c r="AH685" s="43"/>
    </row>
    <row r="686" spans="1:34" s="44" customFormat="1" ht="30.75">
      <c r="A686" s="31" t="s">
        <v>53</v>
      </c>
      <c r="B686" s="24" t="s">
        <v>422</v>
      </c>
      <c r="C686" s="26" t="s">
        <v>438</v>
      </c>
      <c r="D686" s="26">
        <v>600</v>
      </c>
      <c r="E686" s="49">
        <f>E687</f>
        <v>200000</v>
      </c>
      <c r="F686" s="49">
        <f>F687</f>
        <v>0</v>
      </c>
      <c r="G686" s="25">
        <f t="shared" si="27"/>
        <v>200000</v>
      </c>
      <c r="H686" s="38"/>
      <c r="I686" s="43"/>
      <c r="J686" s="43"/>
      <c r="K686" s="43"/>
      <c r="L686" s="43"/>
      <c r="M686" s="43"/>
      <c r="N686" s="43"/>
      <c r="O686" s="43"/>
      <c r="P686" s="43"/>
      <c r="Q686" s="43"/>
      <c r="R686" s="43"/>
      <c r="S686" s="43"/>
      <c r="T686" s="43"/>
      <c r="U686" s="43"/>
      <c r="V686" s="43"/>
      <c r="W686" s="43"/>
      <c r="X686" s="43"/>
      <c r="Y686" s="43"/>
      <c r="Z686" s="43"/>
      <c r="AA686" s="43"/>
      <c r="AB686" s="43"/>
      <c r="AC686" s="43"/>
      <c r="AD686" s="43"/>
      <c r="AE686" s="43"/>
      <c r="AF686" s="43"/>
      <c r="AG686" s="43"/>
      <c r="AH686" s="43"/>
    </row>
    <row r="687" spans="1:34" s="44" customFormat="1" ht="15">
      <c r="A687" s="31" t="s">
        <v>54</v>
      </c>
      <c r="B687" s="24" t="s">
        <v>422</v>
      </c>
      <c r="C687" s="26" t="s">
        <v>438</v>
      </c>
      <c r="D687" s="26">
        <v>610</v>
      </c>
      <c r="E687" s="49">
        <v>200000</v>
      </c>
      <c r="F687" s="49">
        <f>-90000+90000</f>
        <v>0</v>
      </c>
      <c r="G687" s="25">
        <f t="shared" si="27"/>
        <v>200000</v>
      </c>
      <c r="H687" s="38"/>
      <c r="I687" s="43"/>
      <c r="J687" s="43"/>
      <c r="K687" s="43"/>
      <c r="L687" s="43"/>
      <c r="M687" s="43"/>
      <c r="N687" s="43"/>
      <c r="O687" s="43"/>
      <c r="P687" s="43"/>
      <c r="Q687" s="43"/>
      <c r="R687" s="43"/>
      <c r="S687" s="43"/>
      <c r="T687" s="43"/>
      <c r="U687" s="43"/>
      <c r="V687" s="43"/>
      <c r="W687" s="43"/>
      <c r="X687" s="43"/>
      <c r="Y687" s="43"/>
      <c r="Z687" s="43"/>
      <c r="AA687" s="43"/>
      <c r="AB687" s="43"/>
      <c r="AC687" s="43"/>
      <c r="AD687" s="43"/>
      <c r="AE687" s="43"/>
      <c r="AF687" s="43"/>
      <c r="AG687" s="43"/>
      <c r="AH687" s="43"/>
    </row>
    <row r="688" spans="1:34" s="44" customFormat="1" ht="30.75">
      <c r="A688" s="61" t="s">
        <v>439</v>
      </c>
      <c r="B688" s="24" t="s">
        <v>422</v>
      </c>
      <c r="C688" s="26" t="s">
        <v>440</v>
      </c>
      <c r="D688" s="26"/>
      <c r="E688" s="27">
        <f>SUM(E689,E692)</f>
        <v>51962000</v>
      </c>
      <c r="F688" s="27">
        <f>SUM(F689,F692)</f>
        <v>11015420.17</v>
      </c>
      <c r="G688" s="25">
        <f t="shared" si="27"/>
        <v>62977420.17</v>
      </c>
      <c r="H688" s="38"/>
      <c r="I688" s="43"/>
      <c r="J688" s="43"/>
      <c r="K688" s="43"/>
      <c r="L688" s="43"/>
      <c r="M688" s="43"/>
      <c r="N688" s="43"/>
      <c r="O688" s="43"/>
      <c r="P688" s="43"/>
      <c r="Q688" s="43"/>
      <c r="R688" s="43"/>
      <c r="S688" s="43"/>
      <c r="T688" s="43"/>
      <c r="U688" s="43"/>
      <c r="V688" s="43"/>
      <c r="W688" s="43"/>
      <c r="X688" s="43"/>
      <c r="Y688" s="43"/>
      <c r="Z688" s="43"/>
      <c r="AA688" s="43"/>
      <c r="AB688" s="43"/>
      <c r="AC688" s="43"/>
      <c r="AD688" s="43"/>
      <c r="AE688" s="43"/>
      <c r="AF688" s="43"/>
      <c r="AG688" s="43"/>
      <c r="AH688" s="43"/>
    </row>
    <row r="689" spans="1:34" s="44" customFormat="1" ht="15">
      <c r="A689" s="61" t="s">
        <v>441</v>
      </c>
      <c r="B689" s="24" t="s">
        <v>422</v>
      </c>
      <c r="C689" s="26" t="s">
        <v>442</v>
      </c>
      <c r="D689" s="26"/>
      <c r="E689" s="27">
        <f>E690</f>
        <v>50108000</v>
      </c>
      <c r="F689" s="27">
        <f>F690</f>
        <v>-353999.9999999999</v>
      </c>
      <c r="G689" s="25">
        <f t="shared" si="27"/>
        <v>49754000</v>
      </c>
      <c r="H689" s="38"/>
      <c r="I689" s="43"/>
      <c r="J689" s="43"/>
      <c r="K689" s="43"/>
      <c r="L689" s="43"/>
      <c r="M689" s="43"/>
      <c r="N689" s="43"/>
      <c r="O689" s="43"/>
      <c r="P689" s="43"/>
      <c r="Q689" s="43"/>
      <c r="R689" s="43"/>
      <c r="S689" s="43"/>
      <c r="T689" s="43"/>
      <c r="U689" s="43"/>
      <c r="V689" s="43"/>
      <c r="W689" s="43"/>
      <c r="X689" s="43"/>
      <c r="Y689" s="43"/>
      <c r="Z689" s="43"/>
      <c r="AA689" s="43"/>
      <c r="AB689" s="43"/>
      <c r="AC689" s="43"/>
      <c r="AD689" s="43"/>
      <c r="AE689" s="43"/>
      <c r="AF689" s="43"/>
      <c r="AG689" s="43"/>
      <c r="AH689" s="43"/>
    </row>
    <row r="690" spans="1:34" s="44" customFormat="1" ht="30.75">
      <c r="A690" s="31" t="s">
        <v>53</v>
      </c>
      <c r="B690" s="24" t="s">
        <v>422</v>
      </c>
      <c r="C690" s="26" t="s">
        <v>442</v>
      </c>
      <c r="D690" s="26">
        <v>600</v>
      </c>
      <c r="E690" s="27">
        <f>E691</f>
        <v>50108000</v>
      </c>
      <c r="F690" s="27">
        <f>F691</f>
        <v>-353999.9999999999</v>
      </c>
      <c r="G690" s="25">
        <f t="shared" si="27"/>
        <v>49754000</v>
      </c>
      <c r="H690" s="38"/>
      <c r="I690" s="43"/>
      <c r="J690" s="43"/>
      <c r="K690" s="43"/>
      <c r="L690" s="43"/>
      <c r="M690" s="43"/>
      <c r="N690" s="43"/>
      <c r="O690" s="43"/>
      <c r="P690" s="43"/>
      <c r="Q690" s="43"/>
      <c r="R690" s="43"/>
      <c r="S690" s="43"/>
      <c r="T690" s="43"/>
      <c r="U690" s="43"/>
      <c r="V690" s="43"/>
      <c r="W690" s="43"/>
      <c r="X690" s="43"/>
      <c r="Y690" s="43"/>
      <c r="Z690" s="43"/>
      <c r="AA690" s="43"/>
      <c r="AB690" s="43"/>
      <c r="AC690" s="43"/>
      <c r="AD690" s="43"/>
      <c r="AE690" s="43"/>
      <c r="AF690" s="43"/>
      <c r="AG690" s="43"/>
      <c r="AH690" s="43"/>
    </row>
    <row r="691" spans="1:34" s="44" customFormat="1" ht="15">
      <c r="A691" s="31" t="s">
        <v>54</v>
      </c>
      <c r="B691" s="24" t="s">
        <v>422</v>
      </c>
      <c r="C691" s="26" t="s">
        <v>442</v>
      </c>
      <c r="D691" s="26">
        <v>610</v>
      </c>
      <c r="E691" s="27">
        <v>50108000</v>
      </c>
      <c r="F691" s="27">
        <f>-150000-982051.17-204000+982051.17</f>
        <v>-353999.9999999999</v>
      </c>
      <c r="G691" s="25">
        <f t="shared" si="27"/>
        <v>49754000</v>
      </c>
      <c r="H691" s="38"/>
      <c r="I691" s="43"/>
      <c r="J691" s="43"/>
      <c r="K691" s="43"/>
      <c r="L691" s="43"/>
      <c r="M691" s="43"/>
      <c r="N691" s="43"/>
      <c r="O691" s="43"/>
      <c r="P691" s="43"/>
      <c r="Q691" s="43"/>
      <c r="R691" s="43"/>
      <c r="S691" s="43"/>
      <c r="T691" s="43"/>
      <c r="U691" s="43"/>
      <c r="V691" s="43"/>
      <c r="W691" s="43"/>
      <c r="X691" s="43"/>
      <c r="Y691" s="43"/>
      <c r="Z691" s="43"/>
      <c r="AA691" s="43"/>
      <c r="AB691" s="43"/>
      <c r="AC691" s="43"/>
      <c r="AD691" s="43"/>
      <c r="AE691" s="43"/>
      <c r="AF691" s="43"/>
      <c r="AG691" s="43"/>
      <c r="AH691" s="43"/>
    </row>
    <row r="692" spans="1:34" s="44" customFormat="1" ht="46.5">
      <c r="A692" s="61" t="s">
        <v>443</v>
      </c>
      <c r="B692" s="24" t="s">
        <v>422</v>
      </c>
      <c r="C692" s="26" t="s">
        <v>444</v>
      </c>
      <c r="D692" s="26"/>
      <c r="E692" s="27">
        <f>E693</f>
        <v>1854000</v>
      </c>
      <c r="F692" s="27">
        <f>F693</f>
        <v>11369420.17</v>
      </c>
      <c r="G692" s="25">
        <f t="shared" si="27"/>
        <v>13223420.17</v>
      </c>
      <c r="H692" s="38"/>
      <c r="I692" s="43"/>
      <c r="J692" s="43"/>
      <c r="K692" s="43"/>
      <c r="L692" s="43"/>
      <c r="M692" s="43"/>
      <c r="N692" s="43"/>
      <c r="O692" s="43"/>
      <c r="P692" s="43"/>
      <c r="Q692" s="43"/>
      <c r="R692" s="43"/>
      <c r="S692" s="43"/>
      <c r="T692" s="43"/>
      <c r="U692" s="43"/>
      <c r="V692" s="43"/>
      <c r="W692" s="43"/>
      <c r="X692" s="43"/>
      <c r="Y692" s="43"/>
      <c r="Z692" s="43"/>
      <c r="AA692" s="43"/>
      <c r="AB692" s="43"/>
      <c r="AC692" s="43"/>
      <c r="AD692" s="43"/>
      <c r="AE692" s="43"/>
      <c r="AF692" s="43"/>
      <c r="AG692" s="43"/>
      <c r="AH692" s="43"/>
    </row>
    <row r="693" spans="1:34" s="44" customFormat="1" ht="30.75">
      <c r="A693" s="31" t="s">
        <v>53</v>
      </c>
      <c r="B693" s="24" t="s">
        <v>422</v>
      </c>
      <c r="C693" s="26" t="s">
        <v>444</v>
      </c>
      <c r="D693" s="26">
        <v>600</v>
      </c>
      <c r="E693" s="27">
        <f>E694</f>
        <v>1854000</v>
      </c>
      <c r="F693" s="27">
        <f>F694</f>
        <v>11369420.17</v>
      </c>
      <c r="G693" s="25">
        <f t="shared" si="27"/>
        <v>13223420.17</v>
      </c>
      <c r="H693" s="38"/>
      <c r="I693" s="43"/>
      <c r="J693" s="43"/>
      <c r="K693" s="43"/>
      <c r="L693" s="43"/>
      <c r="M693" s="43"/>
      <c r="N693" s="43"/>
      <c r="O693" s="43"/>
      <c r="P693" s="43"/>
      <c r="Q693" s="43"/>
      <c r="R693" s="43"/>
      <c r="S693" s="43"/>
      <c r="T693" s="43"/>
      <c r="U693" s="43"/>
      <c r="V693" s="43"/>
      <c r="W693" s="43"/>
      <c r="X693" s="43"/>
      <c r="Y693" s="43"/>
      <c r="Z693" s="43"/>
      <c r="AA693" s="43"/>
      <c r="AB693" s="43"/>
      <c r="AC693" s="43"/>
      <c r="AD693" s="43"/>
      <c r="AE693" s="43"/>
      <c r="AF693" s="43"/>
      <c r="AG693" s="43"/>
      <c r="AH693" s="43"/>
    </row>
    <row r="694" spans="1:34" s="44" customFormat="1" ht="15">
      <c r="A694" s="31" t="s">
        <v>54</v>
      </c>
      <c r="B694" s="24" t="s">
        <v>422</v>
      </c>
      <c r="C694" s="26" t="s">
        <v>444</v>
      </c>
      <c r="D694" s="26">
        <v>610</v>
      </c>
      <c r="E694" s="27">
        <v>1854000</v>
      </c>
      <c r="F694" s="27">
        <f>150000+5982051.17+5033369+204000</f>
        <v>11369420.17</v>
      </c>
      <c r="G694" s="25">
        <f t="shared" si="27"/>
        <v>13223420.17</v>
      </c>
      <c r="H694" s="38"/>
      <c r="I694" s="43"/>
      <c r="J694" s="43"/>
      <c r="K694" s="43"/>
      <c r="L694" s="43"/>
      <c r="M694" s="43"/>
      <c r="N694" s="43"/>
      <c r="O694" s="43"/>
      <c r="P694" s="43"/>
      <c r="Q694" s="43"/>
      <c r="R694" s="43"/>
      <c r="S694" s="43"/>
      <c r="T694" s="43"/>
      <c r="U694" s="43"/>
      <c r="V694" s="43"/>
      <c r="W694" s="43"/>
      <c r="X694" s="43"/>
      <c r="Y694" s="43"/>
      <c r="Z694" s="43"/>
      <c r="AA694" s="43"/>
      <c r="AB694" s="43"/>
      <c r="AC694" s="43"/>
      <c r="AD694" s="43"/>
      <c r="AE694" s="43"/>
      <c r="AF694" s="43"/>
      <c r="AG694" s="43"/>
      <c r="AH694" s="43"/>
    </row>
    <row r="695" spans="1:34" s="44" customFormat="1" ht="30.75">
      <c r="A695" s="61" t="s">
        <v>445</v>
      </c>
      <c r="B695" s="24" t="s">
        <v>422</v>
      </c>
      <c r="C695" s="26" t="s">
        <v>446</v>
      </c>
      <c r="D695" s="26"/>
      <c r="E695" s="27">
        <f>SUM(E696,E699,E702)</f>
        <v>41910151</v>
      </c>
      <c r="F695" s="27">
        <f>SUM(F696,F699,F702)</f>
        <v>0</v>
      </c>
      <c r="G695" s="25">
        <f t="shared" si="27"/>
        <v>41910151</v>
      </c>
      <c r="H695" s="38"/>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c r="AF695" s="43"/>
      <c r="AG695" s="43"/>
      <c r="AH695" s="43"/>
    </row>
    <row r="696" spans="1:34" s="44" customFormat="1" ht="15">
      <c r="A696" s="61" t="s">
        <v>447</v>
      </c>
      <c r="B696" s="24" t="s">
        <v>422</v>
      </c>
      <c r="C696" s="26" t="s">
        <v>448</v>
      </c>
      <c r="D696" s="26"/>
      <c r="E696" s="27">
        <f>E697</f>
        <v>25834000</v>
      </c>
      <c r="F696" s="27">
        <f>F697</f>
        <v>0</v>
      </c>
      <c r="G696" s="25">
        <f t="shared" si="27"/>
        <v>25834000</v>
      </c>
      <c r="H696" s="38"/>
      <c r="I696" s="43"/>
      <c r="J696" s="43"/>
      <c r="K696" s="43"/>
      <c r="L696" s="43"/>
      <c r="M696" s="43"/>
      <c r="N696" s="43"/>
      <c r="O696" s="43"/>
      <c r="P696" s="43"/>
      <c r="Q696" s="43"/>
      <c r="R696" s="43"/>
      <c r="S696" s="43"/>
      <c r="T696" s="43"/>
      <c r="U696" s="43"/>
      <c r="V696" s="43"/>
      <c r="W696" s="43"/>
      <c r="X696" s="43"/>
      <c r="Y696" s="43"/>
      <c r="Z696" s="43"/>
      <c r="AA696" s="43"/>
      <c r="AB696" s="43"/>
      <c r="AC696" s="43"/>
      <c r="AD696" s="43"/>
      <c r="AE696" s="43"/>
      <c r="AF696" s="43"/>
      <c r="AG696" s="43"/>
      <c r="AH696" s="43"/>
    </row>
    <row r="697" spans="1:34" s="44" customFormat="1" ht="30.75">
      <c r="A697" s="31" t="s">
        <v>53</v>
      </c>
      <c r="B697" s="24" t="s">
        <v>422</v>
      </c>
      <c r="C697" s="26" t="s">
        <v>448</v>
      </c>
      <c r="D697" s="26">
        <v>600</v>
      </c>
      <c r="E697" s="27">
        <f>E698</f>
        <v>25834000</v>
      </c>
      <c r="F697" s="27">
        <f>F698</f>
        <v>0</v>
      </c>
      <c r="G697" s="25">
        <f t="shared" si="27"/>
        <v>25834000</v>
      </c>
      <c r="H697" s="38"/>
      <c r="I697" s="43"/>
      <c r="J697" s="43"/>
      <c r="K697" s="43"/>
      <c r="L697" s="43"/>
      <c r="M697" s="43"/>
      <c r="N697" s="43"/>
      <c r="O697" s="43"/>
      <c r="P697" s="43"/>
      <c r="Q697" s="43"/>
      <c r="R697" s="43"/>
      <c r="S697" s="43"/>
      <c r="T697" s="43"/>
      <c r="U697" s="43"/>
      <c r="V697" s="43"/>
      <c r="W697" s="43"/>
      <c r="X697" s="43"/>
      <c r="Y697" s="43"/>
      <c r="Z697" s="43"/>
      <c r="AA697" s="43"/>
      <c r="AB697" s="43"/>
      <c r="AC697" s="43"/>
      <c r="AD697" s="43"/>
      <c r="AE697" s="43"/>
      <c r="AF697" s="43"/>
      <c r="AG697" s="43"/>
      <c r="AH697" s="43"/>
    </row>
    <row r="698" spans="1:34" s="44" customFormat="1" ht="15">
      <c r="A698" s="31" t="s">
        <v>54</v>
      </c>
      <c r="B698" s="24" t="s">
        <v>422</v>
      </c>
      <c r="C698" s="26" t="s">
        <v>448</v>
      </c>
      <c r="D698" s="26">
        <v>610</v>
      </c>
      <c r="E698" s="27">
        <v>25834000</v>
      </c>
      <c r="F698" s="27">
        <v>0</v>
      </c>
      <c r="G698" s="25">
        <f t="shared" si="27"/>
        <v>25834000</v>
      </c>
      <c r="H698" s="38"/>
      <c r="I698" s="43"/>
      <c r="J698" s="43"/>
      <c r="K698" s="43"/>
      <c r="L698" s="43"/>
      <c r="M698" s="43"/>
      <c r="N698" s="43"/>
      <c r="O698" s="43"/>
      <c r="P698" s="43"/>
      <c r="Q698" s="43"/>
      <c r="R698" s="43"/>
      <c r="S698" s="43"/>
      <c r="T698" s="43"/>
      <c r="U698" s="43"/>
      <c r="V698" s="43"/>
      <c r="W698" s="43"/>
      <c r="X698" s="43"/>
      <c r="Y698" s="43"/>
      <c r="Z698" s="43"/>
      <c r="AA698" s="43"/>
      <c r="AB698" s="43"/>
      <c r="AC698" s="43"/>
      <c r="AD698" s="43"/>
      <c r="AE698" s="43"/>
      <c r="AF698" s="43"/>
      <c r="AG698" s="43"/>
      <c r="AH698" s="43"/>
    </row>
    <row r="699" spans="1:34" s="44" customFormat="1" ht="30.75">
      <c r="A699" s="61" t="s">
        <v>449</v>
      </c>
      <c r="B699" s="24" t="s">
        <v>422</v>
      </c>
      <c r="C699" s="26" t="s">
        <v>450</v>
      </c>
      <c r="D699" s="26"/>
      <c r="E699" s="27">
        <f>E700</f>
        <v>1000000</v>
      </c>
      <c r="F699" s="27">
        <f>F700</f>
        <v>0</v>
      </c>
      <c r="G699" s="25">
        <f t="shared" si="27"/>
        <v>1000000</v>
      </c>
      <c r="H699" s="38"/>
      <c r="I699" s="43"/>
      <c r="J699" s="43"/>
      <c r="K699" s="43"/>
      <c r="L699" s="43"/>
      <c r="M699" s="43"/>
      <c r="N699" s="43"/>
      <c r="O699" s="43"/>
      <c r="P699" s="43"/>
      <c r="Q699" s="43"/>
      <c r="R699" s="43"/>
      <c r="S699" s="43"/>
      <c r="T699" s="43"/>
      <c r="U699" s="43"/>
      <c r="V699" s="43"/>
      <c r="W699" s="43"/>
      <c r="X699" s="43"/>
      <c r="Y699" s="43"/>
      <c r="Z699" s="43"/>
      <c r="AA699" s="43"/>
      <c r="AB699" s="43"/>
      <c r="AC699" s="43"/>
      <c r="AD699" s="43"/>
      <c r="AE699" s="43"/>
      <c r="AF699" s="43"/>
      <c r="AG699" s="43"/>
      <c r="AH699" s="43"/>
    </row>
    <row r="700" spans="1:34" s="44" customFormat="1" ht="30.75">
      <c r="A700" s="31" t="s">
        <v>53</v>
      </c>
      <c r="B700" s="24" t="s">
        <v>422</v>
      </c>
      <c r="C700" s="26" t="s">
        <v>450</v>
      </c>
      <c r="D700" s="26">
        <v>600</v>
      </c>
      <c r="E700" s="27">
        <f>E701</f>
        <v>1000000</v>
      </c>
      <c r="F700" s="27">
        <f>F701</f>
        <v>0</v>
      </c>
      <c r="G700" s="25">
        <f t="shared" si="27"/>
        <v>1000000</v>
      </c>
      <c r="H700" s="38"/>
      <c r="I700" s="43"/>
      <c r="J700" s="43"/>
      <c r="K700" s="43"/>
      <c r="L700" s="43"/>
      <c r="M700" s="43"/>
      <c r="N700" s="43"/>
      <c r="O700" s="43"/>
      <c r="P700" s="43"/>
      <c r="Q700" s="43"/>
      <c r="R700" s="43"/>
      <c r="S700" s="43"/>
      <c r="T700" s="43"/>
      <c r="U700" s="43"/>
      <c r="V700" s="43"/>
      <c r="W700" s="43"/>
      <c r="X700" s="43"/>
      <c r="Y700" s="43"/>
      <c r="Z700" s="43"/>
      <c r="AA700" s="43"/>
      <c r="AB700" s="43"/>
      <c r="AC700" s="43"/>
      <c r="AD700" s="43"/>
      <c r="AE700" s="43"/>
      <c r="AF700" s="43"/>
      <c r="AG700" s="43"/>
      <c r="AH700" s="43"/>
    </row>
    <row r="701" spans="1:34" s="44" customFormat="1" ht="15">
      <c r="A701" s="31" t="s">
        <v>54</v>
      </c>
      <c r="B701" s="24" t="s">
        <v>422</v>
      </c>
      <c r="C701" s="26" t="s">
        <v>450</v>
      </c>
      <c r="D701" s="26">
        <v>610</v>
      </c>
      <c r="E701" s="27">
        <v>1000000</v>
      </c>
      <c r="F701" s="27">
        <v>0</v>
      </c>
      <c r="G701" s="25">
        <f t="shared" si="27"/>
        <v>1000000</v>
      </c>
      <c r="H701" s="38"/>
      <c r="I701" s="43"/>
      <c r="J701" s="43"/>
      <c r="K701" s="43"/>
      <c r="L701" s="43"/>
      <c r="M701" s="43"/>
      <c r="N701" s="43"/>
      <c r="O701" s="43"/>
      <c r="P701" s="43"/>
      <c r="Q701" s="43"/>
      <c r="R701" s="43"/>
      <c r="S701" s="43"/>
      <c r="T701" s="43"/>
      <c r="U701" s="43"/>
      <c r="V701" s="43"/>
      <c r="W701" s="43"/>
      <c r="X701" s="43"/>
      <c r="Y701" s="43"/>
      <c r="Z701" s="43"/>
      <c r="AA701" s="43"/>
      <c r="AB701" s="43"/>
      <c r="AC701" s="43"/>
      <c r="AD701" s="43"/>
      <c r="AE701" s="43"/>
      <c r="AF701" s="43"/>
      <c r="AG701" s="43"/>
      <c r="AH701" s="43"/>
    </row>
    <row r="702" spans="1:34" s="44" customFormat="1" ht="124.5">
      <c r="A702" s="61" t="s">
        <v>451</v>
      </c>
      <c r="B702" s="24" t="s">
        <v>422</v>
      </c>
      <c r="C702" s="26" t="s">
        <v>452</v>
      </c>
      <c r="D702" s="26"/>
      <c r="E702" s="27">
        <f>E703</f>
        <v>15076151</v>
      </c>
      <c r="F702" s="27">
        <f>F703</f>
        <v>0</v>
      </c>
      <c r="G702" s="25">
        <f t="shared" si="27"/>
        <v>15076151</v>
      </c>
      <c r="H702" s="38"/>
      <c r="I702" s="43"/>
      <c r="J702" s="43"/>
      <c r="K702" s="43"/>
      <c r="L702" s="43"/>
      <c r="M702" s="43"/>
      <c r="N702" s="43"/>
      <c r="O702" s="43"/>
      <c r="P702" s="43"/>
      <c r="Q702" s="43"/>
      <c r="R702" s="43"/>
      <c r="S702" s="43"/>
      <c r="T702" s="43"/>
      <c r="U702" s="43"/>
      <c r="V702" s="43"/>
      <c r="W702" s="43"/>
      <c r="X702" s="43"/>
      <c r="Y702" s="43"/>
      <c r="Z702" s="43"/>
      <c r="AA702" s="43"/>
      <c r="AB702" s="43"/>
      <c r="AC702" s="43"/>
      <c r="AD702" s="43"/>
      <c r="AE702" s="43"/>
      <c r="AF702" s="43"/>
      <c r="AG702" s="43"/>
      <c r="AH702" s="43"/>
    </row>
    <row r="703" spans="1:34" s="44" customFormat="1" ht="30.75">
      <c r="A703" s="31" t="s">
        <v>53</v>
      </c>
      <c r="B703" s="24" t="s">
        <v>422</v>
      </c>
      <c r="C703" s="26" t="s">
        <v>452</v>
      </c>
      <c r="D703" s="26">
        <v>600</v>
      </c>
      <c r="E703" s="27">
        <f>E704</f>
        <v>15076151</v>
      </c>
      <c r="F703" s="27">
        <f>F704</f>
        <v>0</v>
      </c>
      <c r="G703" s="25">
        <f t="shared" si="27"/>
        <v>15076151</v>
      </c>
      <c r="H703" s="38"/>
      <c r="I703" s="43"/>
      <c r="J703" s="43"/>
      <c r="K703" s="43"/>
      <c r="L703" s="43"/>
      <c r="M703" s="43"/>
      <c r="N703" s="43"/>
      <c r="O703" s="43"/>
      <c r="P703" s="43"/>
      <c r="Q703" s="43"/>
      <c r="R703" s="43"/>
      <c r="S703" s="43"/>
      <c r="T703" s="43"/>
      <c r="U703" s="43"/>
      <c r="V703" s="43"/>
      <c r="W703" s="43"/>
      <c r="X703" s="43"/>
      <c r="Y703" s="43"/>
      <c r="Z703" s="43"/>
      <c r="AA703" s="43"/>
      <c r="AB703" s="43"/>
      <c r="AC703" s="43"/>
      <c r="AD703" s="43"/>
      <c r="AE703" s="43"/>
      <c r="AF703" s="43"/>
      <c r="AG703" s="43"/>
      <c r="AH703" s="43"/>
    </row>
    <row r="704" spans="1:34" s="44" customFormat="1" ht="15">
      <c r="A704" s="31" t="s">
        <v>54</v>
      </c>
      <c r="B704" s="24" t="s">
        <v>422</v>
      </c>
      <c r="C704" s="26" t="s">
        <v>452</v>
      </c>
      <c r="D704" s="26">
        <v>610</v>
      </c>
      <c r="E704" s="27">
        <v>15076151</v>
      </c>
      <c r="F704" s="27">
        <v>0</v>
      </c>
      <c r="G704" s="25">
        <f t="shared" si="27"/>
        <v>15076151</v>
      </c>
      <c r="H704" s="38"/>
      <c r="I704" s="43"/>
      <c r="J704" s="43"/>
      <c r="K704" s="43"/>
      <c r="L704" s="43"/>
      <c r="M704" s="43"/>
      <c r="N704" s="43"/>
      <c r="O704" s="43"/>
      <c r="P704" s="43"/>
      <c r="Q704" s="43"/>
      <c r="R704" s="43"/>
      <c r="S704" s="43"/>
      <c r="T704" s="43"/>
      <c r="U704" s="43"/>
      <c r="V704" s="43"/>
      <c r="W704" s="43"/>
      <c r="X704" s="43"/>
      <c r="Y704" s="43"/>
      <c r="Z704" s="43"/>
      <c r="AA704" s="43"/>
      <c r="AB704" s="43"/>
      <c r="AC704" s="43"/>
      <c r="AD704" s="43"/>
      <c r="AE704" s="43"/>
      <c r="AF704" s="43"/>
      <c r="AG704" s="43"/>
      <c r="AH704" s="43"/>
    </row>
    <row r="705" spans="1:34" s="44" customFormat="1" ht="30.75">
      <c r="A705" s="31" t="s">
        <v>147</v>
      </c>
      <c r="B705" s="24" t="s">
        <v>422</v>
      </c>
      <c r="C705" s="26" t="s">
        <v>148</v>
      </c>
      <c r="D705" s="26"/>
      <c r="E705" s="27">
        <f>E706</f>
        <v>600000</v>
      </c>
      <c r="F705" s="27">
        <f>F706</f>
        <v>36158</v>
      </c>
      <c r="G705" s="25">
        <f t="shared" si="27"/>
        <v>636158</v>
      </c>
      <c r="H705" s="38"/>
      <c r="I705" s="43"/>
      <c r="J705" s="43"/>
      <c r="K705" s="43"/>
      <c r="L705" s="43"/>
      <c r="M705" s="43"/>
      <c r="N705" s="43"/>
      <c r="O705" s="43"/>
      <c r="P705" s="43"/>
      <c r="Q705" s="43"/>
      <c r="R705" s="43"/>
      <c r="S705" s="43"/>
      <c r="T705" s="43"/>
      <c r="U705" s="43"/>
      <c r="V705" s="43"/>
      <c r="W705" s="43"/>
      <c r="X705" s="43"/>
      <c r="Y705" s="43"/>
      <c r="Z705" s="43"/>
      <c r="AA705" s="43"/>
      <c r="AB705" s="43"/>
      <c r="AC705" s="43"/>
      <c r="AD705" s="43"/>
      <c r="AE705" s="43"/>
      <c r="AF705" s="43"/>
      <c r="AG705" s="43"/>
      <c r="AH705" s="43"/>
    </row>
    <row r="706" spans="1:34" s="44" customFormat="1" ht="15">
      <c r="A706" s="30" t="s">
        <v>149</v>
      </c>
      <c r="B706" s="24" t="s">
        <v>422</v>
      </c>
      <c r="C706" s="26" t="s">
        <v>150</v>
      </c>
      <c r="D706" s="26"/>
      <c r="E706" s="27">
        <f>SUM(E707,E711)</f>
        <v>600000</v>
      </c>
      <c r="F706" s="27">
        <f>SUM(F707,F711)</f>
        <v>36158</v>
      </c>
      <c r="G706" s="25">
        <f t="shared" si="27"/>
        <v>636158</v>
      </c>
      <c r="H706" s="38"/>
      <c r="I706" s="43"/>
      <c r="J706" s="43"/>
      <c r="K706" s="43"/>
      <c r="L706" s="43"/>
      <c r="M706" s="43"/>
      <c r="N706" s="43"/>
      <c r="O706" s="43"/>
      <c r="P706" s="43"/>
      <c r="Q706" s="43"/>
      <c r="R706" s="43"/>
      <c r="S706" s="43"/>
      <c r="T706" s="43"/>
      <c r="U706" s="43"/>
      <c r="V706" s="43"/>
      <c r="W706" s="43"/>
      <c r="X706" s="43"/>
      <c r="Y706" s="43"/>
      <c r="Z706" s="43"/>
      <c r="AA706" s="43"/>
      <c r="AB706" s="43"/>
      <c r="AC706" s="43"/>
      <c r="AD706" s="43"/>
      <c r="AE706" s="43"/>
      <c r="AF706" s="43"/>
      <c r="AG706" s="43"/>
      <c r="AH706" s="43"/>
    </row>
    <row r="707" spans="1:34" s="44" customFormat="1" ht="71.25" customHeight="1">
      <c r="A707" s="31" t="s">
        <v>219</v>
      </c>
      <c r="B707" s="24" t="s">
        <v>422</v>
      </c>
      <c r="C707" s="26" t="s">
        <v>220</v>
      </c>
      <c r="D707" s="26"/>
      <c r="E707" s="27">
        <f>E708</f>
        <v>450000</v>
      </c>
      <c r="F707" s="27">
        <f>F708</f>
        <v>36158</v>
      </c>
      <c r="G707" s="25">
        <f t="shared" si="27"/>
        <v>486158</v>
      </c>
      <c r="H707" s="38"/>
      <c r="I707" s="43"/>
      <c r="J707" s="43"/>
      <c r="K707" s="43"/>
      <c r="L707" s="43"/>
      <c r="M707" s="43"/>
      <c r="N707" s="43"/>
      <c r="O707" s="43"/>
      <c r="P707" s="43"/>
      <c r="Q707" s="43"/>
      <c r="R707" s="43"/>
      <c r="S707" s="43"/>
      <c r="T707" s="43"/>
      <c r="U707" s="43"/>
      <c r="V707" s="43"/>
      <c r="W707" s="43"/>
      <c r="X707" s="43"/>
      <c r="Y707" s="43"/>
      <c r="Z707" s="43"/>
      <c r="AA707" s="43"/>
      <c r="AB707" s="43"/>
      <c r="AC707" s="43"/>
      <c r="AD707" s="43"/>
      <c r="AE707" s="43"/>
      <c r="AF707" s="43"/>
      <c r="AG707" s="43"/>
      <c r="AH707" s="43"/>
    </row>
    <row r="708" spans="1:34" s="44" customFormat="1" ht="30.75">
      <c r="A708" s="31" t="s">
        <v>53</v>
      </c>
      <c r="B708" s="24" t="s">
        <v>422</v>
      </c>
      <c r="C708" s="26" t="s">
        <v>220</v>
      </c>
      <c r="D708" s="26">
        <v>600</v>
      </c>
      <c r="E708" s="27">
        <f>E709+E710</f>
        <v>450000</v>
      </c>
      <c r="F708" s="27">
        <f>F709+F710</f>
        <v>36158</v>
      </c>
      <c r="G708" s="25">
        <f t="shared" si="27"/>
        <v>486158</v>
      </c>
      <c r="H708" s="38"/>
      <c r="I708" s="43"/>
      <c r="J708" s="43"/>
      <c r="K708" s="43"/>
      <c r="L708" s="43"/>
      <c r="M708" s="43"/>
      <c r="N708" s="43"/>
      <c r="O708" s="43"/>
      <c r="P708" s="43"/>
      <c r="Q708" s="43"/>
      <c r="R708" s="43"/>
      <c r="S708" s="43"/>
      <c r="T708" s="43"/>
      <c r="U708" s="43"/>
      <c r="V708" s="43"/>
      <c r="W708" s="43"/>
      <c r="X708" s="43"/>
      <c r="Y708" s="43"/>
      <c r="Z708" s="43"/>
      <c r="AA708" s="43"/>
      <c r="AB708" s="43"/>
      <c r="AC708" s="43"/>
      <c r="AD708" s="43"/>
      <c r="AE708" s="43"/>
      <c r="AF708" s="43"/>
      <c r="AG708" s="43"/>
      <c r="AH708" s="43"/>
    </row>
    <row r="709" spans="1:34" s="44" customFormat="1" ht="15">
      <c r="A709" s="31" t="s">
        <v>54</v>
      </c>
      <c r="B709" s="24" t="s">
        <v>422</v>
      </c>
      <c r="C709" s="26" t="s">
        <v>220</v>
      </c>
      <c r="D709" s="26">
        <v>610</v>
      </c>
      <c r="E709" s="27">
        <v>0</v>
      </c>
      <c r="F709" s="27">
        <v>0</v>
      </c>
      <c r="G709" s="25">
        <f t="shared" si="27"/>
        <v>0</v>
      </c>
      <c r="H709" s="38"/>
      <c r="I709" s="43"/>
      <c r="J709" s="43"/>
      <c r="K709" s="43"/>
      <c r="L709" s="43"/>
      <c r="M709" s="43"/>
      <c r="N709" s="43"/>
      <c r="O709" s="43"/>
      <c r="P709" s="43"/>
      <c r="Q709" s="43"/>
      <c r="R709" s="43"/>
      <c r="S709" s="43"/>
      <c r="T709" s="43"/>
      <c r="U709" s="43"/>
      <c r="V709" s="43"/>
      <c r="W709" s="43"/>
      <c r="X709" s="43"/>
      <c r="Y709" s="43"/>
      <c r="Z709" s="43"/>
      <c r="AA709" s="43"/>
      <c r="AB709" s="43"/>
      <c r="AC709" s="43"/>
      <c r="AD709" s="43"/>
      <c r="AE709" s="43"/>
      <c r="AF709" s="43"/>
      <c r="AG709" s="43"/>
      <c r="AH709" s="43"/>
    </row>
    <row r="710" spans="1:34" s="44" customFormat="1" ht="15">
      <c r="A710" s="31" t="s">
        <v>295</v>
      </c>
      <c r="B710" s="24" t="s">
        <v>422</v>
      </c>
      <c r="C710" s="26" t="s">
        <v>220</v>
      </c>
      <c r="D710" s="26">
        <v>620</v>
      </c>
      <c r="E710" s="27">
        <v>450000</v>
      </c>
      <c r="F710" s="27">
        <v>36158</v>
      </c>
      <c r="G710" s="25">
        <f t="shared" si="27"/>
        <v>486158</v>
      </c>
      <c r="H710" s="38"/>
      <c r="I710" s="43"/>
      <c r="J710" s="43"/>
      <c r="K710" s="43"/>
      <c r="L710" s="43"/>
      <c r="M710" s="43"/>
      <c r="N710" s="43"/>
      <c r="O710" s="43"/>
      <c r="P710" s="43"/>
      <c r="Q710" s="43"/>
      <c r="R710" s="43"/>
      <c r="S710" s="43"/>
      <c r="T710" s="43"/>
      <c r="U710" s="43"/>
      <c r="V710" s="43"/>
      <c r="W710" s="43"/>
      <c r="X710" s="43"/>
      <c r="Y710" s="43"/>
      <c r="Z710" s="43"/>
      <c r="AA710" s="43"/>
      <c r="AB710" s="43"/>
      <c r="AC710" s="43"/>
      <c r="AD710" s="43"/>
      <c r="AE710" s="43"/>
      <c r="AF710" s="43"/>
      <c r="AG710" s="43"/>
      <c r="AH710" s="43"/>
    </row>
    <row r="711" spans="1:34" s="44" customFormat="1" ht="30.75">
      <c r="A711" s="31" t="s">
        <v>453</v>
      </c>
      <c r="B711" s="24" t="s">
        <v>422</v>
      </c>
      <c r="C711" s="26" t="s">
        <v>454</v>
      </c>
      <c r="D711" s="26"/>
      <c r="E711" s="27">
        <f>E712</f>
        <v>150000</v>
      </c>
      <c r="F711" s="27">
        <f>F712</f>
        <v>0</v>
      </c>
      <c r="G711" s="25">
        <f t="shared" si="27"/>
        <v>150000</v>
      </c>
      <c r="H711" s="38"/>
      <c r="I711" s="43"/>
      <c r="J711" s="43"/>
      <c r="K711" s="43"/>
      <c r="L711" s="43"/>
      <c r="M711" s="43"/>
      <c r="N711" s="43"/>
      <c r="O711" s="43"/>
      <c r="P711" s="43"/>
      <c r="Q711" s="43"/>
      <c r="R711" s="43"/>
      <c r="S711" s="43"/>
      <c r="T711" s="43"/>
      <c r="U711" s="43"/>
      <c r="V711" s="43"/>
      <c r="W711" s="43"/>
      <c r="X711" s="43"/>
      <c r="Y711" s="43"/>
      <c r="Z711" s="43"/>
      <c r="AA711" s="43"/>
      <c r="AB711" s="43"/>
      <c r="AC711" s="43"/>
      <c r="AD711" s="43"/>
      <c r="AE711" s="43"/>
      <c r="AF711" s="43"/>
      <c r="AG711" s="43"/>
      <c r="AH711" s="43"/>
    </row>
    <row r="712" spans="1:34" s="44" customFormat="1" ht="30.75">
      <c r="A712" s="31" t="s">
        <v>53</v>
      </c>
      <c r="B712" s="24" t="s">
        <v>422</v>
      </c>
      <c r="C712" s="26" t="s">
        <v>454</v>
      </c>
      <c r="D712" s="26">
        <v>600</v>
      </c>
      <c r="E712" s="27">
        <f>E713</f>
        <v>150000</v>
      </c>
      <c r="F712" s="27">
        <f>F713</f>
        <v>0</v>
      </c>
      <c r="G712" s="25">
        <f t="shared" si="27"/>
        <v>150000</v>
      </c>
      <c r="H712" s="38"/>
      <c r="I712" s="43"/>
      <c r="J712" s="43"/>
      <c r="K712" s="43"/>
      <c r="L712" s="43"/>
      <c r="M712" s="43"/>
      <c r="N712" s="43"/>
      <c r="O712" s="43"/>
      <c r="P712" s="43"/>
      <c r="Q712" s="43"/>
      <c r="R712" s="43"/>
      <c r="S712" s="43"/>
      <c r="T712" s="43"/>
      <c r="U712" s="43"/>
      <c r="V712" s="43"/>
      <c r="W712" s="43"/>
      <c r="X712" s="43"/>
      <c r="Y712" s="43"/>
      <c r="Z712" s="43"/>
      <c r="AA712" s="43"/>
      <c r="AB712" s="43"/>
      <c r="AC712" s="43"/>
      <c r="AD712" s="43"/>
      <c r="AE712" s="43"/>
      <c r="AF712" s="43"/>
      <c r="AG712" s="43"/>
      <c r="AH712" s="43"/>
    </row>
    <row r="713" spans="1:34" s="44" customFormat="1" ht="15">
      <c r="A713" s="31" t="s">
        <v>54</v>
      </c>
      <c r="B713" s="24" t="s">
        <v>422</v>
      </c>
      <c r="C713" s="26" t="s">
        <v>454</v>
      </c>
      <c r="D713" s="26">
        <v>610</v>
      </c>
      <c r="E713" s="27">
        <v>150000</v>
      </c>
      <c r="F713" s="27">
        <v>0</v>
      </c>
      <c r="G713" s="25">
        <f t="shared" si="27"/>
        <v>150000</v>
      </c>
      <c r="H713" s="38"/>
      <c r="I713" s="43"/>
      <c r="J713" s="43"/>
      <c r="K713" s="43"/>
      <c r="L713" s="43"/>
      <c r="M713" s="43"/>
      <c r="N713" s="43"/>
      <c r="O713" s="43"/>
      <c r="P713" s="43"/>
      <c r="Q713" s="43"/>
      <c r="R713" s="43"/>
      <c r="S713" s="43"/>
      <c r="T713" s="43"/>
      <c r="U713" s="43"/>
      <c r="V713" s="43"/>
      <c r="W713" s="43"/>
      <c r="X713" s="43"/>
      <c r="Y713" s="43"/>
      <c r="Z713" s="43"/>
      <c r="AA713" s="43"/>
      <c r="AB713" s="43"/>
      <c r="AC713" s="43"/>
      <c r="AD713" s="43"/>
      <c r="AE713" s="43"/>
      <c r="AF713" s="43"/>
      <c r="AG713" s="43"/>
      <c r="AH713" s="43"/>
    </row>
    <row r="714" spans="1:34" s="44" customFormat="1" ht="15.75">
      <c r="A714" s="20" t="s">
        <v>455</v>
      </c>
      <c r="B714" s="21" t="s">
        <v>456</v>
      </c>
      <c r="C714" s="59"/>
      <c r="D714" s="59"/>
      <c r="E714" s="47">
        <f aca="true" t="shared" si="28" ref="E714:F718">E715</f>
        <v>1500000</v>
      </c>
      <c r="F714" s="47">
        <f t="shared" si="28"/>
        <v>0</v>
      </c>
      <c r="G714" s="22">
        <f t="shared" si="27"/>
        <v>1500000</v>
      </c>
      <c r="H714" s="38"/>
      <c r="I714" s="43"/>
      <c r="J714" s="43"/>
      <c r="K714" s="43"/>
      <c r="L714" s="43"/>
      <c r="M714" s="43"/>
      <c r="N714" s="43"/>
      <c r="O714" s="43"/>
      <c r="P714" s="43"/>
      <c r="Q714" s="43"/>
      <c r="R714" s="43"/>
      <c r="S714" s="43"/>
      <c r="T714" s="43"/>
      <c r="U714" s="43"/>
      <c r="V714" s="43"/>
      <c r="W714" s="43"/>
      <c r="X714" s="43"/>
      <c r="Y714" s="43"/>
      <c r="Z714" s="43"/>
      <c r="AA714" s="43"/>
      <c r="AB714" s="43"/>
      <c r="AC714" s="43"/>
      <c r="AD714" s="43"/>
      <c r="AE714" s="43"/>
      <c r="AF714" s="43"/>
      <c r="AG714" s="43"/>
      <c r="AH714" s="43"/>
    </row>
    <row r="715" spans="1:34" s="44" customFormat="1" ht="30.75">
      <c r="A715" s="31" t="s">
        <v>372</v>
      </c>
      <c r="B715" s="24" t="s">
        <v>456</v>
      </c>
      <c r="C715" s="26" t="s">
        <v>373</v>
      </c>
      <c r="D715" s="59"/>
      <c r="E715" s="27">
        <f t="shared" si="28"/>
        <v>1500000</v>
      </c>
      <c r="F715" s="27">
        <f t="shared" si="28"/>
        <v>0</v>
      </c>
      <c r="G715" s="25">
        <f t="shared" si="27"/>
        <v>1500000</v>
      </c>
      <c r="H715" s="38"/>
      <c r="I715" s="43"/>
      <c r="J715" s="43"/>
      <c r="K715" s="43"/>
      <c r="L715" s="43"/>
      <c r="M715" s="43"/>
      <c r="N715" s="43"/>
      <c r="O715" s="43"/>
      <c r="P715" s="43"/>
      <c r="Q715" s="43"/>
      <c r="R715" s="43"/>
      <c r="S715" s="43"/>
      <c r="T715" s="43"/>
      <c r="U715" s="43"/>
      <c r="V715" s="43"/>
      <c r="W715" s="43"/>
      <c r="X715" s="43"/>
      <c r="Y715" s="43"/>
      <c r="Z715" s="43"/>
      <c r="AA715" s="43"/>
      <c r="AB715" s="43"/>
      <c r="AC715" s="43"/>
      <c r="AD715" s="43"/>
      <c r="AE715" s="43"/>
      <c r="AF715" s="43"/>
      <c r="AG715" s="43"/>
      <c r="AH715" s="43"/>
    </row>
    <row r="716" spans="1:34" s="44" customFormat="1" ht="30.75">
      <c r="A716" s="61" t="s">
        <v>423</v>
      </c>
      <c r="B716" s="24" t="s">
        <v>456</v>
      </c>
      <c r="C716" s="26" t="s">
        <v>424</v>
      </c>
      <c r="D716" s="59"/>
      <c r="E716" s="27">
        <f t="shared" si="28"/>
        <v>1500000</v>
      </c>
      <c r="F716" s="27">
        <f t="shared" si="28"/>
        <v>0</v>
      </c>
      <c r="G716" s="25">
        <f t="shared" si="27"/>
        <v>1500000</v>
      </c>
      <c r="H716" s="38"/>
      <c r="I716" s="43"/>
      <c r="J716" s="43"/>
      <c r="K716" s="43"/>
      <c r="L716" s="43"/>
      <c r="M716" s="43"/>
      <c r="N716" s="43"/>
      <c r="O716" s="43"/>
      <c r="P716" s="43"/>
      <c r="Q716" s="43"/>
      <c r="R716" s="43"/>
      <c r="S716" s="43"/>
      <c r="T716" s="43"/>
      <c r="U716" s="43"/>
      <c r="V716" s="43"/>
      <c r="W716" s="43"/>
      <c r="X716" s="43"/>
      <c r="Y716" s="43"/>
      <c r="Z716" s="43"/>
      <c r="AA716" s="43"/>
      <c r="AB716" s="43"/>
      <c r="AC716" s="43"/>
      <c r="AD716" s="43"/>
      <c r="AE716" s="43"/>
      <c r="AF716" s="43"/>
      <c r="AG716" s="43"/>
      <c r="AH716" s="43"/>
    </row>
    <row r="717" spans="1:34" s="44" customFormat="1" ht="15">
      <c r="A717" s="61" t="s">
        <v>457</v>
      </c>
      <c r="B717" s="24" t="s">
        <v>456</v>
      </c>
      <c r="C717" s="26" t="s">
        <v>458</v>
      </c>
      <c r="D717" s="26"/>
      <c r="E717" s="27">
        <f t="shared" si="28"/>
        <v>1500000</v>
      </c>
      <c r="F717" s="27">
        <f t="shared" si="28"/>
        <v>0</v>
      </c>
      <c r="G717" s="25">
        <f t="shared" si="27"/>
        <v>1500000</v>
      </c>
      <c r="H717" s="38"/>
      <c r="I717" s="43"/>
      <c r="J717" s="43"/>
      <c r="K717" s="43"/>
      <c r="L717" s="43"/>
      <c r="M717" s="43"/>
      <c r="N717" s="43"/>
      <c r="O717" s="43"/>
      <c r="P717" s="43"/>
      <c r="Q717" s="43"/>
      <c r="R717" s="43"/>
      <c r="S717" s="43"/>
      <c r="T717" s="43"/>
      <c r="U717" s="43"/>
      <c r="V717" s="43"/>
      <c r="W717" s="43"/>
      <c r="X717" s="43"/>
      <c r="Y717" s="43"/>
      <c r="Z717" s="43"/>
      <c r="AA717" s="43"/>
      <c r="AB717" s="43"/>
      <c r="AC717" s="43"/>
      <c r="AD717" s="43"/>
      <c r="AE717" s="43"/>
      <c r="AF717" s="43"/>
      <c r="AG717" s="43"/>
      <c r="AH717" s="43"/>
    </row>
    <row r="718" spans="1:34" s="44" customFormat="1" ht="15">
      <c r="A718" s="31" t="s">
        <v>668</v>
      </c>
      <c r="B718" s="24" t="s">
        <v>456</v>
      </c>
      <c r="C718" s="26" t="s">
        <v>458</v>
      </c>
      <c r="D718" s="26">
        <v>800</v>
      </c>
      <c r="E718" s="27">
        <f t="shared" si="28"/>
        <v>1500000</v>
      </c>
      <c r="F718" s="27">
        <f t="shared" si="28"/>
        <v>0</v>
      </c>
      <c r="G718" s="25">
        <f t="shared" si="27"/>
        <v>1500000</v>
      </c>
      <c r="H718" s="38"/>
      <c r="I718" s="43"/>
      <c r="J718" s="43"/>
      <c r="K718" s="43"/>
      <c r="L718" s="43"/>
      <c r="M718" s="43"/>
      <c r="N718" s="43"/>
      <c r="O718" s="43"/>
      <c r="P718" s="43"/>
      <c r="Q718" s="43"/>
      <c r="R718" s="43"/>
      <c r="S718" s="43"/>
      <c r="T718" s="43"/>
      <c r="U718" s="43"/>
      <c r="V718" s="43"/>
      <c r="W718" s="43"/>
      <c r="X718" s="43"/>
      <c r="Y718" s="43"/>
      <c r="Z718" s="43"/>
      <c r="AA718" s="43"/>
      <c r="AB718" s="43"/>
      <c r="AC718" s="43"/>
      <c r="AD718" s="43"/>
      <c r="AE718" s="43"/>
      <c r="AF718" s="43"/>
      <c r="AG718" s="43"/>
      <c r="AH718" s="43"/>
    </row>
    <row r="719" spans="1:34" s="44" customFormat="1" ht="46.5">
      <c r="A719" s="31" t="s">
        <v>142</v>
      </c>
      <c r="B719" s="24" t="s">
        <v>456</v>
      </c>
      <c r="C719" s="26" t="s">
        <v>458</v>
      </c>
      <c r="D719" s="26">
        <v>810</v>
      </c>
      <c r="E719" s="27">
        <v>1500000</v>
      </c>
      <c r="F719" s="27">
        <v>0</v>
      </c>
      <c r="G719" s="25">
        <f t="shared" si="27"/>
        <v>1500000</v>
      </c>
      <c r="H719" s="38"/>
      <c r="I719" s="43"/>
      <c r="J719" s="43"/>
      <c r="K719" s="43"/>
      <c r="L719" s="43"/>
      <c r="M719" s="43"/>
      <c r="N719" s="43"/>
      <c r="O719" s="43"/>
      <c r="P719" s="43"/>
      <c r="Q719" s="43"/>
      <c r="R719" s="43"/>
      <c r="S719" s="43"/>
      <c r="T719" s="43"/>
      <c r="U719" s="43"/>
      <c r="V719" s="43"/>
      <c r="W719" s="43"/>
      <c r="X719" s="43"/>
      <c r="Y719" s="43"/>
      <c r="Z719" s="43"/>
      <c r="AA719" s="43"/>
      <c r="AB719" s="43"/>
      <c r="AC719" s="43"/>
      <c r="AD719" s="43"/>
      <c r="AE719" s="43"/>
      <c r="AF719" s="43"/>
      <c r="AG719" s="43"/>
      <c r="AH719" s="43"/>
    </row>
    <row r="720" spans="1:34" s="44" customFormat="1" ht="15.75">
      <c r="A720" s="20" t="s">
        <v>459</v>
      </c>
      <c r="B720" s="21" t="s">
        <v>460</v>
      </c>
      <c r="C720" s="26"/>
      <c r="D720" s="59"/>
      <c r="E720" s="47">
        <f>E721+E737</f>
        <v>42085000</v>
      </c>
      <c r="F720" s="47">
        <f>F721+F737</f>
        <v>214830</v>
      </c>
      <c r="G720" s="22">
        <f t="shared" si="27"/>
        <v>42299830</v>
      </c>
      <c r="H720" s="38"/>
      <c r="I720" s="43"/>
      <c r="J720" s="43"/>
      <c r="K720" s="43"/>
      <c r="L720" s="43"/>
      <c r="M720" s="43"/>
      <c r="N720" s="43"/>
      <c r="O720" s="43"/>
      <c r="P720" s="43"/>
      <c r="Q720" s="43"/>
      <c r="R720" s="43"/>
      <c r="S720" s="43"/>
      <c r="T720" s="43"/>
      <c r="U720" s="43"/>
      <c r="V720" s="43"/>
      <c r="W720" s="43"/>
      <c r="X720" s="43"/>
      <c r="Y720" s="43"/>
      <c r="Z720" s="43"/>
      <c r="AA720" s="43"/>
      <c r="AB720" s="43"/>
      <c r="AC720" s="43"/>
      <c r="AD720" s="43"/>
      <c r="AE720" s="43"/>
      <c r="AF720" s="43"/>
      <c r="AG720" s="43"/>
      <c r="AH720" s="43"/>
    </row>
    <row r="721" spans="1:34" s="44" customFormat="1" ht="30.75">
      <c r="A721" s="31" t="s">
        <v>372</v>
      </c>
      <c r="B721" s="24" t="s">
        <v>460</v>
      </c>
      <c r="C721" s="26" t="s">
        <v>373</v>
      </c>
      <c r="D721" s="59"/>
      <c r="E721" s="27">
        <f>E722</f>
        <v>42085000</v>
      </c>
      <c r="F721" s="27">
        <f>F722</f>
        <v>0</v>
      </c>
      <c r="G721" s="25">
        <f t="shared" si="27"/>
        <v>42085000</v>
      </c>
      <c r="H721" s="38"/>
      <c r="I721" s="43"/>
      <c r="J721" s="43"/>
      <c r="K721" s="43"/>
      <c r="L721" s="43"/>
      <c r="M721" s="43"/>
      <c r="N721" s="43"/>
      <c r="O721" s="43"/>
      <c r="P721" s="43"/>
      <c r="Q721" s="43"/>
      <c r="R721" s="43"/>
      <c r="S721" s="43"/>
      <c r="T721" s="43"/>
      <c r="U721" s="43"/>
      <c r="V721" s="43"/>
      <c r="W721" s="43"/>
      <c r="X721" s="43"/>
      <c r="Y721" s="43"/>
      <c r="Z721" s="43"/>
      <c r="AA721" s="43"/>
      <c r="AB721" s="43"/>
      <c r="AC721" s="43"/>
      <c r="AD721" s="43"/>
      <c r="AE721" s="43"/>
      <c r="AF721" s="43"/>
      <c r="AG721" s="43"/>
      <c r="AH721" s="43"/>
    </row>
    <row r="722" spans="1:34" s="44" customFormat="1" ht="46.5">
      <c r="A722" s="31" t="s">
        <v>461</v>
      </c>
      <c r="B722" s="24" t="s">
        <v>460</v>
      </c>
      <c r="C722" s="26" t="s">
        <v>462</v>
      </c>
      <c r="D722" s="26"/>
      <c r="E722" s="27">
        <f>SUM(E723,E730)</f>
        <v>42085000</v>
      </c>
      <c r="F722" s="27">
        <f>SUM(F723,F730)</f>
        <v>0</v>
      </c>
      <c r="G722" s="25">
        <f t="shared" si="27"/>
        <v>42085000</v>
      </c>
      <c r="H722" s="38"/>
      <c r="I722" s="43"/>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row>
    <row r="723" spans="1:34" s="44" customFormat="1" ht="30.75">
      <c r="A723" s="31" t="s">
        <v>463</v>
      </c>
      <c r="B723" s="24" t="s">
        <v>460</v>
      </c>
      <c r="C723" s="26" t="s">
        <v>464</v>
      </c>
      <c r="D723" s="26"/>
      <c r="E723" s="49">
        <f>SUM(E724,E726,E728)</f>
        <v>5807000</v>
      </c>
      <c r="F723" s="49">
        <f>SUM(F724,F726,F728)</f>
        <v>0</v>
      </c>
      <c r="G723" s="25">
        <f t="shared" si="27"/>
        <v>5807000</v>
      </c>
      <c r="H723" s="38"/>
      <c r="I723" s="43"/>
      <c r="J723" s="43"/>
      <c r="K723" s="43"/>
      <c r="L723" s="43"/>
      <c r="M723" s="43"/>
      <c r="N723" s="43"/>
      <c r="O723" s="43"/>
      <c r="P723" s="43"/>
      <c r="Q723" s="43"/>
      <c r="R723" s="43"/>
      <c r="S723" s="43"/>
      <c r="T723" s="43"/>
      <c r="U723" s="43"/>
      <c r="V723" s="43"/>
      <c r="W723" s="43"/>
      <c r="X723" s="43"/>
      <c r="Y723" s="43"/>
      <c r="Z723" s="43"/>
      <c r="AA723" s="43"/>
      <c r="AB723" s="43"/>
      <c r="AC723" s="43"/>
      <c r="AD723" s="43"/>
      <c r="AE723" s="43"/>
      <c r="AF723" s="43"/>
      <c r="AG723" s="43"/>
      <c r="AH723" s="43"/>
    </row>
    <row r="724" spans="1:34" s="44" customFormat="1" ht="64.5" customHeight="1">
      <c r="A724" s="23" t="s">
        <v>660</v>
      </c>
      <c r="B724" s="24" t="s">
        <v>460</v>
      </c>
      <c r="C724" s="26" t="s">
        <v>464</v>
      </c>
      <c r="D724" s="24" t="s">
        <v>661</v>
      </c>
      <c r="E724" s="27">
        <f>E725</f>
        <v>5454000</v>
      </c>
      <c r="F724" s="27">
        <f>F725</f>
        <v>0</v>
      </c>
      <c r="G724" s="25">
        <f t="shared" si="27"/>
        <v>5454000</v>
      </c>
      <c r="H724" s="38"/>
      <c r="I724" s="43"/>
      <c r="J724" s="43"/>
      <c r="K724" s="43"/>
      <c r="L724" s="43"/>
      <c r="M724" s="43"/>
      <c r="N724" s="43"/>
      <c r="O724" s="43"/>
      <c r="P724" s="43"/>
      <c r="Q724" s="43"/>
      <c r="R724" s="43"/>
      <c r="S724" s="43"/>
      <c r="T724" s="43"/>
      <c r="U724" s="43"/>
      <c r="V724" s="43"/>
      <c r="W724" s="43"/>
      <c r="X724" s="43"/>
      <c r="Y724" s="43"/>
      <c r="Z724" s="43"/>
      <c r="AA724" s="43"/>
      <c r="AB724" s="43"/>
      <c r="AC724" s="43"/>
      <c r="AD724" s="43"/>
      <c r="AE724" s="43"/>
      <c r="AF724" s="43"/>
      <c r="AG724" s="43"/>
      <c r="AH724" s="43"/>
    </row>
    <row r="725" spans="1:34" s="44" customFormat="1" ht="30.75">
      <c r="A725" s="23" t="s">
        <v>662</v>
      </c>
      <c r="B725" s="24" t="s">
        <v>460</v>
      </c>
      <c r="C725" s="26" t="s">
        <v>464</v>
      </c>
      <c r="D725" s="24" t="s">
        <v>663</v>
      </c>
      <c r="E725" s="27">
        <v>5454000</v>
      </c>
      <c r="F725" s="27">
        <v>0</v>
      </c>
      <c r="G725" s="25">
        <f t="shared" si="27"/>
        <v>5454000</v>
      </c>
      <c r="H725" s="38"/>
      <c r="I725" s="43"/>
      <c r="J725" s="43"/>
      <c r="K725" s="43"/>
      <c r="L725" s="43"/>
      <c r="M725" s="43"/>
      <c r="N725" s="43"/>
      <c r="O725" s="43"/>
      <c r="P725" s="43"/>
      <c r="Q725" s="43"/>
      <c r="R725" s="43"/>
      <c r="S725" s="43"/>
      <c r="T725" s="43"/>
      <c r="U725" s="43"/>
      <c r="V725" s="43"/>
      <c r="W725" s="43"/>
      <c r="X725" s="43"/>
      <c r="Y725" s="43"/>
      <c r="Z725" s="43"/>
      <c r="AA725" s="43"/>
      <c r="AB725" s="43"/>
      <c r="AC725" s="43"/>
      <c r="AD725" s="43"/>
      <c r="AE725" s="43"/>
      <c r="AF725" s="43"/>
      <c r="AG725" s="43"/>
      <c r="AH725" s="43"/>
    </row>
    <row r="726" spans="1:34" s="44" customFormat="1" ht="30.75">
      <c r="A726" s="28" t="s">
        <v>664</v>
      </c>
      <c r="B726" s="24" t="s">
        <v>460</v>
      </c>
      <c r="C726" s="26" t="s">
        <v>464</v>
      </c>
      <c r="D726" s="24" t="s">
        <v>665</v>
      </c>
      <c r="E726" s="27">
        <f>E727</f>
        <v>350000</v>
      </c>
      <c r="F726" s="27">
        <f>F727</f>
        <v>0</v>
      </c>
      <c r="G726" s="25">
        <f t="shared" si="27"/>
        <v>350000</v>
      </c>
      <c r="H726" s="38"/>
      <c r="I726" s="43"/>
      <c r="J726" s="43"/>
      <c r="K726" s="43"/>
      <c r="L726" s="43"/>
      <c r="M726" s="43"/>
      <c r="N726" s="43"/>
      <c r="O726" s="43"/>
      <c r="P726" s="43"/>
      <c r="Q726" s="43"/>
      <c r="R726" s="43"/>
      <c r="S726" s="43"/>
      <c r="T726" s="43"/>
      <c r="U726" s="43"/>
      <c r="V726" s="43"/>
      <c r="W726" s="43"/>
      <c r="X726" s="43"/>
      <c r="Y726" s="43"/>
      <c r="Z726" s="43"/>
      <c r="AA726" s="43"/>
      <c r="AB726" s="43"/>
      <c r="AC726" s="43"/>
      <c r="AD726" s="43"/>
      <c r="AE726" s="43"/>
      <c r="AF726" s="43"/>
      <c r="AG726" s="43"/>
      <c r="AH726" s="43"/>
    </row>
    <row r="727" spans="1:34" s="44" customFormat="1" ht="30.75">
      <c r="A727" s="28" t="s">
        <v>666</v>
      </c>
      <c r="B727" s="24" t="s">
        <v>460</v>
      </c>
      <c r="C727" s="26" t="s">
        <v>464</v>
      </c>
      <c r="D727" s="24" t="s">
        <v>667</v>
      </c>
      <c r="E727" s="27">
        <v>350000</v>
      </c>
      <c r="F727" s="27">
        <v>0</v>
      </c>
      <c r="G727" s="25">
        <f t="shared" si="27"/>
        <v>350000</v>
      </c>
      <c r="H727" s="38"/>
      <c r="I727" s="43"/>
      <c r="J727" s="43"/>
      <c r="K727" s="43"/>
      <c r="L727" s="43"/>
      <c r="M727" s="43"/>
      <c r="N727" s="43"/>
      <c r="O727" s="43"/>
      <c r="P727" s="43"/>
      <c r="Q727" s="43"/>
      <c r="R727" s="43"/>
      <c r="S727" s="43"/>
      <c r="T727" s="43"/>
      <c r="U727" s="43"/>
      <c r="V727" s="43"/>
      <c r="W727" s="43"/>
      <c r="X727" s="43"/>
      <c r="Y727" s="43"/>
      <c r="Z727" s="43"/>
      <c r="AA727" s="43"/>
      <c r="AB727" s="43"/>
      <c r="AC727" s="43"/>
      <c r="AD727" s="43"/>
      <c r="AE727" s="43"/>
      <c r="AF727" s="43"/>
      <c r="AG727" s="43"/>
      <c r="AH727" s="43"/>
    </row>
    <row r="728" spans="1:34" s="44" customFormat="1" ht="15">
      <c r="A728" s="28" t="s">
        <v>668</v>
      </c>
      <c r="B728" s="24" t="s">
        <v>460</v>
      </c>
      <c r="C728" s="26" t="s">
        <v>464</v>
      </c>
      <c r="D728" s="24" t="s">
        <v>669</v>
      </c>
      <c r="E728" s="27">
        <f>E729</f>
        <v>3000</v>
      </c>
      <c r="F728" s="27">
        <f>F729</f>
        <v>0</v>
      </c>
      <c r="G728" s="25">
        <f t="shared" si="27"/>
        <v>3000</v>
      </c>
      <c r="H728" s="38"/>
      <c r="I728" s="43"/>
      <c r="J728" s="43"/>
      <c r="K728" s="43"/>
      <c r="L728" s="43"/>
      <c r="M728" s="43"/>
      <c r="N728" s="43"/>
      <c r="O728" s="43"/>
      <c r="P728" s="43"/>
      <c r="Q728" s="43"/>
      <c r="R728" s="43"/>
      <c r="S728" s="43"/>
      <c r="T728" s="43"/>
      <c r="U728" s="43"/>
      <c r="V728" s="43"/>
      <c r="W728" s="43"/>
      <c r="X728" s="43"/>
      <c r="Y728" s="43"/>
      <c r="Z728" s="43"/>
      <c r="AA728" s="43"/>
      <c r="AB728" s="43"/>
      <c r="AC728" s="43"/>
      <c r="AD728" s="43"/>
      <c r="AE728" s="43"/>
      <c r="AF728" s="43"/>
      <c r="AG728" s="43"/>
      <c r="AH728" s="43"/>
    </row>
    <row r="729" spans="1:34" s="44" customFormat="1" ht="15">
      <c r="A729" s="28" t="s">
        <v>670</v>
      </c>
      <c r="B729" s="24" t="s">
        <v>460</v>
      </c>
      <c r="C729" s="26" t="s">
        <v>464</v>
      </c>
      <c r="D729" s="24" t="s">
        <v>671</v>
      </c>
      <c r="E729" s="27">
        <v>3000</v>
      </c>
      <c r="F729" s="27">
        <v>0</v>
      </c>
      <c r="G729" s="25">
        <f t="shared" si="27"/>
        <v>3000</v>
      </c>
      <c r="H729" s="38"/>
      <c r="I729" s="43"/>
      <c r="J729" s="43"/>
      <c r="K729" s="43"/>
      <c r="L729" s="43"/>
      <c r="M729" s="43"/>
      <c r="N729" s="43"/>
      <c r="O729" s="43"/>
      <c r="P729" s="43"/>
      <c r="Q729" s="43"/>
      <c r="R729" s="43"/>
      <c r="S729" s="43"/>
      <c r="T729" s="43"/>
      <c r="U729" s="43"/>
      <c r="V729" s="43"/>
      <c r="W729" s="43"/>
      <c r="X729" s="43"/>
      <c r="Y729" s="43"/>
      <c r="Z729" s="43"/>
      <c r="AA729" s="43"/>
      <c r="AB729" s="43"/>
      <c r="AC729" s="43"/>
      <c r="AD729" s="43"/>
      <c r="AE729" s="43"/>
      <c r="AF729" s="43"/>
      <c r="AG729" s="43"/>
      <c r="AH729" s="43"/>
    </row>
    <row r="730" spans="1:34" s="44" customFormat="1" ht="30.75">
      <c r="A730" s="31" t="s">
        <v>465</v>
      </c>
      <c r="B730" s="24" t="s">
        <v>460</v>
      </c>
      <c r="C730" s="26" t="s">
        <v>466</v>
      </c>
      <c r="D730" s="26"/>
      <c r="E730" s="27">
        <f>SUM(E731,E733,E735)</f>
        <v>36278000</v>
      </c>
      <c r="F730" s="27">
        <f>SUM(F731,F733,F735)</f>
        <v>0</v>
      </c>
      <c r="G730" s="25">
        <f t="shared" si="27"/>
        <v>36278000</v>
      </c>
      <c r="H730" s="38"/>
      <c r="I730" s="43"/>
      <c r="J730" s="43"/>
      <c r="K730" s="43"/>
      <c r="L730" s="43"/>
      <c r="M730" s="43"/>
      <c r="N730" s="43"/>
      <c r="O730" s="43"/>
      <c r="P730" s="43"/>
      <c r="Q730" s="43"/>
      <c r="R730" s="43"/>
      <c r="S730" s="43"/>
      <c r="T730" s="43"/>
      <c r="U730" s="43"/>
      <c r="V730" s="43"/>
      <c r="W730" s="43"/>
      <c r="X730" s="43"/>
      <c r="Y730" s="43"/>
      <c r="Z730" s="43"/>
      <c r="AA730" s="43"/>
      <c r="AB730" s="43"/>
      <c r="AC730" s="43"/>
      <c r="AD730" s="43"/>
      <c r="AE730" s="43"/>
      <c r="AF730" s="43"/>
      <c r="AG730" s="43"/>
      <c r="AH730" s="43"/>
    </row>
    <row r="731" spans="1:34" s="44" customFormat="1" ht="69" customHeight="1">
      <c r="A731" s="23" t="s">
        <v>660</v>
      </c>
      <c r="B731" s="24" t="s">
        <v>460</v>
      </c>
      <c r="C731" s="26" t="s">
        <v>466</v>
      </c>
      <c r="D731" s="26">
        <v>100</v>
      </c>
      <c r="E731" s="27">
        <f>E732</f>
        <v>35025000</v>
      </c>
      <c r="F731" s="27">
        <f>F732</f>
        <v>0</v>
      </c>
      <c r="G731" s="25">
        <f t="shared" si="27"/>
        <v>35025000</v>
      </c>
      <c r="H731" s="38"/>
      <c r="I731" s="43"/>
      <c r="J731" s="43"/>
      <c r="K731" s="43"/>
      <c r="L731" s="43"/>
      <c r="M731" s="43"/>
      <c r="N731" s="43"/>
      <c r="O731" s="43"/>
      <c r="P731" s="43"/>
      <c r="Q731" s="43"/>
      <c r="R731" s="43"/>
      <c r="S731" s="43"/>
      <c r="T731" s="43"/>
      <c r="U731" s="43"/>
      <c r="V731" s="43"/>
      <c r="W731" s="43"/>
      <c r="X731" s="43"/>
      <c r="Y731" s="43"/>
      <c r="Z731" s="43"/>
      <c r="AA731" s="43"/>
      <c r="AB731" s="43"/>
      <c r="AC731" s="43"/>
      <c r="AD731" s="43"/>
      <c r="AE731" s="43"/>
      <c r="AF731" s="43"/>
      <c r="AG731" s="43"/>
      <c r="AH731" s="43"/>
    </row>
    <row r="732" spans="1:34" s="44" customFormat="1" ht="15">
      <c r="A732" s="23" t="s">
        <v>46</v>
      </c>
      <c r="B732" s="24" t="s">
        <v>460</v>
      </c>
      <c r="C732" s="26" t="s">
        <v>466</v>
      </c>
      <c r="D732" s="26">
        <v>110</v>
      </c>
      <c r="E732" s="27">
        <v>35025000</v>
      </c>
      <c r="F732" s="27">
        <v>0</v>
      </c>
      <c r="G732" s="25">
        <f t="shared" si="27"/>
        <v>35025000</v>
      </c>
      <c r="H732" s="38"/>
      <c r="I732" s="43"/>
      <c r="J732" s="43"/>
      <c r="K732" s="43"/>
      <c r="L732" s="43"/>
      <c r="M732" s="43"/>
      <c r="N732" s="43"/>
      <c r="O732" s="43"/>
      <c r="P732" s="43"/>
      <c r="Q732" s="43"/>
      <c r="R732" s="43"/>
      <c r="S732" s="43"/>
      <c r="T732" s="43"/>
      <c r="U732" s="43"/>
      <c r="V732" s="43"/>
      <c r="W732" s="43"/>
      <c r="X732" s="43"/>
      <c r="Y732" s="43"/>
      <c r="Z732" s="43"/>
      <c r="AA732" s="43"/>
      <c r="AB732" s="43"/>
      <c r="AC732" s="43"/>
      <c r="AD732" s="43"/>
      <c r="AE732" s="43"/>
      <c r="AF732" s="43"/>
      <c r="AG732" s="43"/>
      <c r="AH732" s="43"/>
    </row>
    <row r="733" spans="1:34" s="44" customFormat="1" ht="30.75">
      <c r="A733" s="28" t="s">
        <v>664</v>
      </c>
      <c r="B733" s="24" t="s">
        <v>460</v>
      </c>
      <c r="C733" s="26" t="s">
        <v>466</v>
      </c>
      <c r="D733" s="26">
        <v>200</v>
      </c>
      <c r="E733" s="27">
        <f>E734</f>
        <v>1250000</v>
      </c>
      <c r="F733" s="27">
        <f>F734</f>
        <v>0</v>
      </c>
      <c r="G733" s="25">
        <f t="shared" si="27"/>
        <v>1250000</v>
      </c>
      <c r="H733" s="38"/>
      <c r="I733" s="43"/>
      <c r="J733" s="43"/>
      <c r="K733" s="43"/>
      <c r="L733" s="43"/>
      <c r="M733" s="43"/>
      <c r="N733" s="43"/>
      <c r="O733" s="43"/>
      <c r="P733" s="43"/>
      <c r="Q733" s="43"/>
      <c r="R733" s="43"/>
      <c r="S733" s="43"/>
      <c r="T733" s="43"/>
      <c r="U733" s="43"/>
      <c r="V733" s="43"/>
      <c r="W733" s="43"/>
      <c r="X733" s="43"/>
      <c r="Y733" s="43"/>
      <c r="Z733" s="43"/>
      <c r="AA733" s="43"/>
      <c r="AB733" s="43"/>
      <c r="AC733" s="43"/>
      <c r="AD733" s="43"/>
      <c r="AE733" s="43"/>
      <c r="AF733" s="43"/>
      <c r="AG733" s="43"/>
      <c r="AH733" s="43"/>
    </row>
    <row r="734" spans="1:34" s="44" customFormat="1" ht="30.75">
      <c r="A734" s="28" t="s">
        <v>666</v>
      </c>
      <c r="B734" s="24" t="s">
        <v>460</v>
      </c>
      <c r="C734" s="26" t="s">
        <v>466</v>
      </c>
      <c r="D734" s="26">
        <v>240</v>
      </c>
      <c r="E734" s="27">
        <v>1250000</v>
      </c>
      <c r="F734" s="27">
        <v>0</v>
      </c>
      <c r="G734" s="25">
        <f t="shared" si="27"/>
        <v>1250000</v>
      </c>
      <c r="H734" s="38"/>
      <c r="I734" s="43"/>
      <c r="J734" s="43"/>
      <c r="K734" s="43"/>
      <c r="L734" s="43"/>
      <c r="M734" s="43"/>
      <c r="N734" s="43"/>
      <c r="O734" s="43"/>
      <c r="P734" s="43"/>
      <c r="Q734" s="43"/>
      <c r="R734" s="43"/>
      <c r="S734" s="43"/>
      <c r="T734" s="43"/>
      <c r="U734" s="43"/>
      <c r="V734" s="43"/>
      <c r="W734" s="43"/>
      <c r="X734" s="43"/>
      <c r="Y734" s="43"/>
      <c r="Z734" s="43"/>
      <c r="AA734" s="43"/>
      <c r="AB734" s="43"/>
      <c r="AC734" s="43"/>
      <c r="AD734" s="43"/>
      <c r="AE734" s="43"/>
      <c r="AF734" s="43"/>
      <c r="AG734" s="43"/>
      <c r="AH734" s="43"/>
    </row>
    <row r="735" spans="1:34" s="44" customFormat="1" ht="15">
      <c r="A735" s="28" t="s">
        <v>668</v>
      </c>
      <c r="B735" s="24" t="s">
        <v>460</v>
      </c>
      <c r="C735" s="26" t="s">
        <v>466</v>
      </c>
      <c r="D735" s="24" t="s">
        <v>669</v>
      </c>
      <c r="E735" s="27">
        <f>E736</f>
        <v>3000</v>
      </c>
      <c r="F735" s="27">
        <f>F736</f>
        <v>0</v>
      </c>
      <c r="G735" s="25">
        <f t="shared" si="27"/>
        <v>3000</v>
      </c>
      <c r="H735" s="38"/>
      <c r="I735" s="43"/>
      <c r="J735" s="43"/>
      <c r="K735" s="43"/>
      <c r="L735" s="43"/>
      <c r="M735" s="43"/>
      <c r="N735" s="43"/>
      <c r="O735" s="43"/>
      <c r="P735" s="43"/>
      <c r="Q735" s="43"/>
      <c r="R735" s="43"/>
      <c r="S735" s="43"/>
      <c r="T735" s="43"/>
      <c r="U735" s="43"/>
      <c r="V735" s="43"/>
      <c r="W735" s="43"/>
      <c r="X735" s="43"/>
      <c r="Y735" s="43"/>
      <c r="Z735" s="43"/>
      <c r="AA735" s="43"/>
      <c r="AB735" s="43"/>
      <c r="AC735" s="43"/>
      <c r="AD735" s="43"/>
      <c r="AE735" s="43"/>
      <c r="AF735" s="43"/>
      <c r="AG735" s="43"/>
      <c r="AH735" s="43"/>
    </row>
    <row r="736" spans="1:34" s="44" customFormat="1" ht="15">
      <c r="A736" s="28" t="s">
        <v>670</v>
      </c>
      <c r="B736" s="24" t="s">
        <v>460</v>
      </c>
      <c r="C736" s="26" t="s">
        <v>466</v>
      </c>
      <c r="D736" s="24" t="s">
        <v>671</v>
      </c>
      <c r="E736" s="27">
        <v>3000</v>
      </c>
      <c r="F736" s="27">
        <v>0</v>
      </c>
      <c r="G736" s="25">
        <f t="shared" si="27"/>
        <v>3000</v>
      </c>
      <c r="H736" s="38"/>
      <c r="I736" s="43"/>
      <c r="J736" s="43"/>
      <c r="K736" s="43"/>
      <c r="L736" s="43"/>
      <c r="M736" s="43"/>
      <c r="N736" s="43"/>
      <c r="O736" s="43"/>
      <c r="P736" s="43"/>
      <c r="Q736" s="43"/>
      <c r="R736" s="43"/>
      <c r="S736" s="43"/>
      <c r="T736" s="43"/>
      <c r="U736" s="43"/>
      <c r="V736" s="43"/>
      <c r="W736" s="43"/>
      <c r="X736" s="43"/>
      <c r="Y736" s="43"/>
      <c r="Z736" s="43"/>
      <c r="AA736" s="43"/>
      <c r="AB736" s="43"/>
      <c r="AC736" s="43"/>
      <c r="AD736" s="43"/>
      <c r="AE736" s="43"/>
      <c r="AF736" s="43"/>
      <c r="AG736" s="43"/>
      <c r="AH736" s="43"/>
    </row>
    <row r="737" spans="1:34" s="44" customFormat="1" ht="15">
      <c r="A737" s="31" t="s">
        <v>674</v>
      </c>
      <c r="B737" s="24" t="s">
        <v>460</v>
      </c>
      <c r="C737" s="26" t="s">
        <v>675</v>
      </c>
      <c r="D737" s="26"/>
      <c r="E737" s="27">
        <f aca="true" t="shared" si="29" ref="E737:F740">E738</f>
        <v>0</v>
      </c>
      <c r="F737" s="27">
        <f t="shared" si="29"/>
        <v>214830</v>
      </c>
      <c r="G737" s="25">
        <f t="shared" si="27"/>
        <v>214830</v>
      </c>
      <c r="H737" s="38"/>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c r="AF737" s="43"/>
      <c r="AG737" s="43"/>
      <c r="AH737" s="43"/>
    </row>
    <row r="738" spans="1:34" s="44" customFormat="1" ht="20.25" customHeight="1">
      <c r="A738" s="31" t="s">
        <v>676</v>
      </c>
      <c r="B738" s="24" t="s">
        <v>460</v>
      </c>
      <c r="C738" s="26" t="s">
        <v>677</v>
      </c>
      <c r="D738" s="26"/>
      <c r="E738" s="27">
        <f t="shared" si="29"/>
        <v>0</v>
      </c>
      <c r="F738" s="27">
        <f t="shared" si="29"/>
        <v>214830</v>
      </c>
      <c r="G738" s="25">
        <f t="shared" si="27"/>
        <v>214830</v>
      </c>
      <c r="H738" s="38"/>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c r="AF738" s="43"/>
      <c r="AG738" s="43"/>
      <c r="AH738" s="43"/>
    </row>
    <row r="739" spans="1:34" s="44" customFormat="1" ht="62.25">
      <c r="A739" s="31" t="s">
        <v>642</v>
      </c>
      <c r="B739" s="24" t="s">
        <v>460</v>
      </c>
      <c r="C739" s="26" t="s">
        <v>641</v>
      </c>
      <c r="D739" s="26"/>
      <c r="E739" s="27">
        <f t="shared" si="29"/>
        <v>0</v>
      </c>
      <c r="F739" s="27">
        <f t="shared" si="29"/>
        <v>214830</v>
      </c>
      <c r="G739" s="25">
        <f t="shared" si="27"/>
        <v>214830</v>
      </c>
      <c r="H739" s="38"/>
      <c r="I739" s="43"/>
      <c r="J739" s="43"/>
      <c r="K739" s="43"/>
      <c r="L739" s="43"/>
      <c r="M739" s="43"/>
      <c r="N739" s="43"/>
      <c r="O739" s="43"/>
      <c r="P739" s="43"/>
      <c r="Q739" s="43"/>
      <c r="R739" s="43"/>
      <c r="S739" s="43"/>
      <c r="T739" s="43"/>
      <c r="U739" s="43"/>
      <c r="V739" s="43"/>
      <c r="W739" s="43"/>
      <c r="X739" s="43"/>
      <c r="Y739" s="43"/>
      <c r="Z739" s="43"/>
      <c r="AA739" s="43"/>
      <c r="AB739" s="43"/>
      <c r="AC739" s="43"/>
      <c r="AD739" s="43"/>
      <c r="AE739" s="43"/>
      <c r="AF739" s="43"/>
      <c r="AG739" s="43"/>
      <c r="AH739" s="43"/>
    </row>
    <row r="740" spans="1:34" s="44" customFormat="1" ht="69.75" customHeight="1">
      <c r="A740" s="23" t="s">
        <v>660</v>
      </c>
      <c r="B740" s="24" t="s">
        <v>460</v>
      </c>
      <c r="C740" s="26" t="s">
        <v>641</v>
      </c>
      <c r="D740" s="24" t="s">
        <v>661</v>
      </c>
      <c r="E740" s="27">
        <f t="shared" si="29"/>
        <v>0</v>
      </c>
      <c r="F740" s="27">
        <f t="shared" si="29"/>
        <v>214830</v>
      </c>
      <c r="G740" s="25">
        <f t="shared" si="27"/>
        <v>214830</v>
      </c>
      <c r="H740" s="38"/>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c r="AH740" s="43"/>
    </row>
    <row r="741" spans="1:34" s="44" customFormat="1" ht="30.75">
      <c r="A741" s="23" t="s">
        <v>662</v>
      </c>
      <c r="B741" s="24" t="s">
        <v>460</v>
      </c>
      <c r="C741" s="26" t="s">
        <v>641</v>
      </c>
      <c r="D741" s="24" t="s">
        <v>663</v>
      </c>
      <c r="E741" s="27">
        <v>0</v>
      </c>
      <c r="F741" s="27">
        <v>214830</v>
      </c>
      <c r="G741" s="25">
        <f t="shared" si="27"/>
        <v>214830</v>
      </c>
      <c r="H741" s="38"/>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c r="AH741" s="43"/>
    </row>
    <row r="742" spans="1:34" s="3" customFormat="1" ht="15">
      <c r="A742" s="17" t="s">
        <v>467</v>
      </c>
      <c r="B742" s="18" t="s">
        <v>468</v>
      </c>
      <c r="C742" s="83"/>
      <c r="D742" s="83"/>
      <c r="E742" s="66">
        <f>SUM(E743,E751,E761,E842,E884)</f>
        <v>1085001658.95</v>
      </c>
      <c r="F742" s="66">
        <f>SUM(F743,F751,F761,F842,F884)</f>
        <v>24704368</v>
      </c>
      <c r="G742" s="19">
        <f t="shared" si="27"/>
        <v>1109706026.95</v>
      </c>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row>
    <row r="743" spans="1:34" s="3" customFormat="1" ht="15.75">
      <c r="A743" s="20" t="s">
        <v>469</v>
      </c>
      <c r="B743" s="21" t="s">
        <v>470</v>
      </c>
      <c r="C743" s="26"/>
      <c r="D743" s="59"/>
      <c r="E743" s="47">
        <f aca="true" t="shared" si="30" ref="E743:F745">E744</f>
        <v>9500000</v>
      </c>
      <c r="F743" s="47">
        <f t="shared" si="30"/>
        <v>0</v>
      </c>
      <c r="G743" s="22">
        <f t="shared" si="27"/>
        <v>9500000</v>
      </c>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row>
    <row r="744" spans="1:34" s="3" customFormat="1" ht="30.75">
      <c r="A744" s="31" t="s">
        <v>147</v>
      </c>
      <c r="B744" s="24" t="s">
        <v>470</v>
      </c>
      <c r="C744" s="26" t="s">
        <v>148</v>
      </c>
      <c r="D744" s="26"/>
      <c r="E744" s="27">
        <f t="shared" si="30"/>
        <v>9500000</v>
      </c>
      <c r="F744" s="27">
        <f t="shared" si="30"/>
        <v>0</v>
      </c>
      <c r="G744" s="25">
        <f t="shared" si="27"/>
        <v>9500000</v>
      </c>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row>
    <row r="745" spans="1:34" s="3" customFormat="1" ht="46.5">
      <c r="A745" s="31" t="s">
        <v>471</v>
      </c>
      <c r="B745" s="24" t="s">
        <v>470</v>
      </c>
      <c r="C745" s="26" t="s">
        <v>472</v>
      </c>
      <c r="D745" s="26"/>
      <c r="E745" s="27">
        <f t="shared" si="30"/>
        <v>9500000</v>
      </c>
      <c r="F745" s="27">
        <f t="shared" si="30"/>
        <v>0</v>
      </c>
      <c r="G745" s="25">
        <f t="shared" si="27"/>
        <v>9500000</v>
      </c>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row>
    <row r="746" spans="1:34" s="3" customFormat="1" ht="46.5">
      <c r="A746" s="31" t="s">
        <v>473</v>
      </c>
      <c r="B746" s="24" t="s">
        <v>470</v>
      </c>
      <c r="C746" s="26" t="s">
        <v>474</v>
      </c>
      <c r="D746" s="26"/>
      <c r="E746" s="27">
        <f>E749+E747</f>
        <v>9500000</v>
      </c>
      <c r="F746" s="27">
        <f>F749+F747</f>
        <v>0</v>
      </c>
      <c r="G746" s="25">
        <f t="shared" si="27"/>
        <v>9500000</v>
      </c>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row>
    <row r="747" spans="1:34" s="3" customFormat="1" ht="30.75">
      <c r="A747" s="28" t="s">
        <v>664</v>
      </c>
      <c r="B747" s="24" t="s">
        <v>470</v>
      </c>
      <c r="C747" s="26" t="s">
        <v>474</v>
      </c>
      <c r="D747" s="26">
        <v>200</v>
      </c>
      <c r="E747" s="27">
        <f>E748</f>
        <v>94000</v>
      </c>
      <c r="F747" s="27">
        <f>F748</f>
        <v>0</v>
      </c>
      <c r="G747" s="25">
        <f t="shared" si="27"/>
        <v>94000</v>
      </c>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row>
    <row r="748" spans="1:34" s="3" customFormat="1" ht="30.75">
      <c r="A748" s="28" t="s">
        <v>666</v>
      </c>
      <c r="B748" s="24" t="s">
        <v>470</v>
      </c>
      <c r="C748" s="26" t="s">
        <v>474</v>
      </c>
      <c r="D748" s="26">
        <v>240</v>
      </c>
      <c r="E748" s="27">
        <v>94000</v>
      </c>
      <c r="F748" s="27">
        <v>0</v>
      </c>
      <c r="G748" s="25">
        <f t="shared" si="27"/>
        <v>94000</v>
      </c>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row>
    <row r="749" spans="1:34" s="3" customFormat="1" ht="15">
      <c r="A749" s="31" t="s">
        <v>115</v>
      </c>
      <c r="B749" s="24" t="s">
        <v>470</v>
      </c>
      <c r="C749" s="26" t="s">
        <v>474</v>
      </c>
      <c r="D749" s="26">
        <v>300</v>
      </c>
      <c r="E749" s="27">
        <f>E750</f>
        <v>9406000</v>
      </c>
      <c r="F749" s="27">
        <f>F750</f>
        <v>0</v>
      </c>
      <c r="G749" s="25">
        <f t="shared" si="27"/>
        <v>9406000</v>
      </c>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row>
    <row r="750" spans="1:34" s="3" customFormat="1" ht="15">
      <c r="A750" s="31" t="s">
        <v>475</v>
      </c>
      <c r="B750" s="24" t="s">
        <v>470</v>
      </c>
      <c r="C750" s="26" t="s">
        <v>474</v>
      </c>
      <c r="D750" s="26">
        <v>310</v>
      </c>
      <c r="E750" s="27">
        <v>9406000</v>
      </c>
      <c r="F750" s="27">
        <v>0</v>
      </c>
      <c r="G750" s="25">
        <f t="shared" si="27"/>
        <v>9406000</v>
      </c>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row>
    <row r="751" spans="1:34" s="3" customFormat="1" ht="15.75">
      <c r="A751" s="91" t="s">
        <v>476</v>
      </c>
      <c r="B751" s="21" t="s">
        <v>477</v>
      </c>
      <c r="C751" s="46"/>
      <c r="D751" s="46"/>
      <c r="E751" s="47">
        <f>E752</f>
        <v>64783945</v>
      </c>
      <c r="F751" s="47">
        <f>F752</f>
        <v>3058974</v>
      </c>
      <c r="G751" s="22">
        <f t="shared" si="27"/>
        <v>67842919</v>
      </c>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row>
    <row r="752" spans="1:34" s="3" customFormat="1" ht="15">
      <c r="A752" s="30" t="s">
        <v>674</v>
      </c>
      <c r="B752" s="24" t="s">
        <v>477</v>
      </c>
      <c r="C752" s="26" t="s">
        <v>675</v>
      </c>
      <c r="D752" s="24"/>
      <c r="E752" s="27">
        <f>E753+E757</f>
        <v>64783945</v>
      </c>
      <c r="F752" s="27">
        <f>F753+F757</f>
        <v>3058974</v>
      </c>
      <c r="G752" s="25">
        <f t="shared" si="27"/>
        <v>67842919</v>
      </c>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row>
    <row r="753" spans="1:34" s="3" customFormat="1" ht="46.5">
      <c r="A753" s="31" t="s">
        <v>6</v>
      </c>
      <c r="B753" s="24" t="s">
        <v>477</v>
      </c>
      <c r="C753" s="26" t="s">
        <v>7</v>
      </c>
      <c r="D753" s="24"/>
      <c r="E753" s="27">
        <f aca="true" t="shared" si="31" ref="E753:F755">E754</f>
        <v>59683945</v>
      </c>
      <c r="F753" s="27">
        <f t="shared" si="31"/>
        <v>3058974</v>
      </c>
      <c r="G753" s="25">
        <f aca="true" t="shared" si="32" ref="G753:G816">SUM(E753:F753)</f>
        <v>62742919</v>
      </c>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row>
    <row r="754" spans="1:34" s="3" customFormat="1" ht="46.5">
      <c r="A754" s="48" t="s">
        <v>478</v>
      </c>
      <c r="B754" s="33" t="s">
        <v>477</v>
      </c>
      <c r="C754" s="36" t="s">
        <v>479</v>
      </c>
      <c r="D754" s="33"/>
      <c r="E754" s="37">
        <f t="shared" si="31"/>
        <v>59683945</v>
      </c>
      <c r="F754" s="37">
        <f t="shared" si="31"/>
        <v>3058974</v>
      </c>
      <c r="G754" s="25">
        <f t="shared" si="32"/>
        <v>62742919</v>
      </c>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row>
    <row r="755" spans="1:34" s="3" customFormat="1" ht="30.75">
      <c r="A755" s="48" t="s">
        <v>53</v>
      </c>
      <c r="B755" s="33" t="s">
        <v>477</v>
      </c>
      <c r="C755" s="36" t="s">
        <v>479</v>
      </c>
      <c r="D755" s="33" t="s">
        <v>94</v>
      </c>
      <c r="E755" s="37">
        <f t="shared" si="31"/>
        <v>59683945</v>
      </c>
      <c r="F755" s="37">
        <f t="shared" si="31"/>
        <v>3058974</v>
      </c>
      <c r="G755" s="25">
        <f t="shared" si="32"/>
        <v>62742919</v>
      </c>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row>
    <row r="756" spans="1:34" s="3" customFormat="1" ht="15">
      <c r="A756" s="48" t="s">
        <v>54</v>
      </c>
      <c r="B756" s="33" t="s">
        <v>477</v>
      </c>
      <c r="C756" s="36" t="s">
        <v>479</v>
      </c>
      <c r="D756" s="33" t="s">
        <v>95</v>
      </c>
      <c r="E756" s="37">
        <v>59683945</v>
      </c>
      <c r="F756" s="37">
        <v>3058974</v>
      </c>
      <c r="G756" s="25">
        <f t="shared" si="32"/>
        <v>62742919</v>
      </c>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row>
    <row r="757" spans="1:34" s="3" customFormat="1" ht="15">
      <c r="A757" s="31" t="s">
        <v>102</v>
      </c>
      <c r="B757" s="24" t="s">
        <v>477</v>
      </c>
      <c r="C757" s="26" t="s">
        <v>103</v>
      </c>
      <c r="D757" s="26"/>
      <c r="E757" s="27">
        <f aca="true" t="shared" si="33" ref="E757:F759">E758</f>
        <v>5100000</v>
      </c>
      <c r="F757" s="27">
        <f t="shared" si="33"/>
        <v>0</v>
      </c>
      <c r="G757" s="25">
        <f t="shared" si="32"/>
        <v>5100000</v>
      </c>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row>
    <row r="758" spans="1:34" s="3" customFormat="1" ht="46.5">
      <c r="A758" s="31" t="s">
        <v>104</v>
      </c>
      <c r="B758" s="24" t="s">
        <v>477</v>
      </c>
      <c r="C758" s="26" t="s">
        <v>105</v>
      </c>
      <c r="D758" s="26"/>
      <c r="E758" s="27">
        <f t="shared" si="33"/>
        <v>5100000</v>
      </c>
      <c r="F758" s="27">
        <f t="shared" si="33"/>
        <v>0</v>
      </c>
      <c r="G758" s="25">
        <f t="shared" si="32"/>
        <v>5100000</v>
      </c>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row>
    <row r="759" spans="1:34" s="3" customFormat="1" ht="30.75">
      <c r="A759" s="31" t="s">
        <v>53</v>
      </c>
      <c r="B759" s="24" t="s">
        <v>477</v>
      </c>
      <c r="C759" s="26" t="s">
        <v>105</v>
      </c>
      <c r="D759" s="24" t="s">
        <v>94</v>
      </c>
      <c r="E759" s="27">
        <f t="shared" si="33"/>
        <v>5100000</v>
      </c>
      <c r="F759" s="27">
        <f t="shared" si="33"/>
        <v>0</v>
      </c>
      <c r="G759" s="25">
        <f t="shared" si="32"/>
        <v>5100000</v>
      </c>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row>
    <row r="760" spans="1:34" s="3" customFormat="1" ht="15">
      <c r="A760" s="31" t="s">
        <v>54</v>
      </c>
      <c r="B760" s="24" t="s">
        <v>477</v>
      </c>
      <c r="C760" s="26" t="s">
        <v>105</v>
      </c>
      <c r="D760" s="24" t="s">
        <v>95</v>
      </c>
      <c r="E760" s="27">
        <v>5100000</v>
      </c>
      <c r="F760" s="27">
        <v>0</v>
      </c>
      <c r="G760" s="25">
        <f t="shared" si="32"/>
        <v>5100000</v>
      </c>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row>
    <row r="761" spans="1:34" s="3" customFormat="1" ht="15.75">
      <c r="A761" s="96" t="s">
        <v>480</v>
      </c>
      <c r="B761" s="21">
        <v>1003</v>
      </c>
      <c r="C761" s="26"/>
      <c r="D761" s="59"/>
      <c r="E761" s="47">
        <f>E762</f>
        <v>486557500</v>
      </c>
      <c r="F761" s="47">
        <f>F762</f>
        <v>-8923771</v>
      </c>
      <c r="G761" s="22">
        <f t="shared" si="32"/>
        <v>477633729</v>
      </c>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row>
    <row r="762" spans="1:34" s="3" customFormat="1" ht="30.75">
      <c r="A762" s="31" t="s">
        <v>147</v>
      </c>
      <c r="B762" s="24" t="s">
        <v>481</v>
      </c>
      <c r="C762" s="26" t="s">
        <v>148</v>
      </c>
      <c r="D762" s="26"/>
      <c r="E762" s="27">
        <f>SUM(E763,E823,E836)</f>
        <v>486557500</v>
      </c>
      <c r="F762" s="27">
        <f>SUM(F763,F823,F836)</f>
        <v>-8923771</v>
      </c>
      <c r="G762" s="25">
        <f t="shared" si="32"/>
        <v>477633729</v>
      </c>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row>
    <row r="763" spans="1:34" s="3" customFormat="1" ht="46.5">
      <c r="A763" s="31" t="s">
        <v>471</v>
      </c>
      <c r="B763" s="24" t="s">
        <v>481</v>
      </c>
      <c r="C763" s="26" t="s">
        <v>472</v>
      </c>
      <c r="D763" s="26"/>
      <c r="E763" s="49">
        <f>SUM(E764,E769,E774,E779,E785,E790,E795,E800,E805,E810,E815,E820)</f>
        <v>471727500</v>
      </c>
      <c r="F763" s="49">
        <f>SUM(F764,F769,F774,F779,F785,F790,F795,F800,F805,F810,F815,F820)</f>
        <v>-8923771</v>
      </c>
      <c r="G763" s="25">
        <f t="shared" si="32"/>
        <v>462803729</v>
      </c>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row>
    <row r="764" spans="1:34" s="3" customFormat="1" ht="30.75">
      <c r="A764" s="48" t="s">
        <v>482</v>
      </c>
      <c r="B764" s="33" t="s">
        <v>481</v>
      </c>
      <c r="C764" s="36" t="s">
        <v>483</v>
      </c>
      <c r="D764" s="36"/>
      <c r="E764" s="40">
        <f>E767+E765</f>
        <v>128115214</v>
      </c>
      <c r="F764" s="40">
        <f>F767+F765</f>
        <v>-14432520</v>
      </c>
      <c r="G764" s="25">
        <f t="shared" si="32"/>
        <v>113682694</v>
      </c>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row>
    <row r="765" spans="1:34" s="3" customFormat="1" ht="30.75">
      <c r="A765" s="35" t="s">
        <v>664</v>
      </c>
      <c r="B765" s="33" t="s">
        <v>481</v>
      </c>
      <c r="C765" s="36" t="s">
        <v>483</v>
      </c>
      <c r="D765" s="36">
        <v>200</v>
      </c>
      <c r="E765" s="40">
        <f>E766</f>
        <v>1345210</v>
      </c>
      <c r="F765" s="40">
        <f>F766</f>
        <v>-201520</v>
      </c>
      <c r="G765" s="25">
        <f t="shared" si="32"/>
        <v>1143690</v>
      </c>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row>
    <row r="766" spans="1:34" s="3" customFormat="1" ht="30.75">
      <c r="A766" s="48" t="s">
        <v>666</v>
      </c>
      <c r="B766" s="33" t="s">
        <v>481</v>
      </c>
      <c r="C766" s="36" t="s">
        <v>483</v>
      </c>
      <c r="D766" s="36">
        <v>240</v>
      </c>
      <c r="E766" s="40">
        <v>1345210</v>
      </c>
      <c r="F766" s="40">
        <v>-201520</v>
      </c>
      <c r="G766" s="25">
        <f t="shared" si="32"/>
        <v>1143690</v>
      </c>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row>
    <row r="767" spans="1:34" s="3" customFormat="1" ht="15">
      <c r="A767" s="48" t="s">
        <v>115</v>
      </c>
      <c r="B767" s="33" t="s">
        <v>481</v>
      </c>
      <c r="C767" s="36" t="s">
        <v>483</v>
      </c>
      <c r="D767" s="36">
        <v>300</v>
      </c>
      <c r="E767" s="40">
        <f>E768</f>
        <v>126770004</v>
      </c>
      <c r="F767" s="40">
        <f>F768</f>
        <v>-14231000</v>
      </c>
      <c r="G767" s="25">
        <f t="shared" si="32"/>
        <v>112539004</v>
      </c>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row>
    <row r="768" spans="1:34" s="3" customFormat="1" ht="15">
      <c r="A768" s="48" t="s">
        <v>475</v>
      </c>
      <c r="B768" s="33" t="s">
        <v>481</v>
      </c>
      <c r="C768" s="36" t="s">
        <v>483</v>
      </c>
      <c r="D768" s="36">
        <v>310</v>
      </c>
      <c r="E768" s="40">
        <v>126770004</v>
      </c>
      <c r="F768" s="40">
        <v>-14231000</v>
      </c>
      <c r="G768" s="25">
        <f t="shared" si="32"/>
        <v>112539004</v>
      </c>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row>
    <row r="769" spans="1:34" s="3" customFormat="1" ht="30.75">
      <c r="A769" s="48" t="s">
        <v>484</v>
      </c>
      <c r="B769" s="33" t="s">
        <v>481</v>
      </c>
      <c r="C769" s="36" t="s">
        <v>485</v>
      </c>
      <c r="D769" s="36"/>
      <c r="E769" s="40">
        <f>E772+E770</f>
        <v>8652372</v>
      </c>
      <c r="F769" s="40">
        <f>F772+F770</f>
        <v>74785</v>
      </c>
      <c r="G769" s="25">
        <f t="shared" si="32"/>
        <v>8727157</v>
      </c>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row>
    <row r="770" spans="1:34" s="3" customFormat="1" ht="30.75">
      <c r="A770" s="35" t="s">
        <v>664</v>
      </c>
      <c r="B770" s="33" t="s">
        <v>481</v>
      </c>
      <c r="C770" s="36" t="s">
        <v>485</v>
      </c>
      <c r="D770" s="36">
        <v>200</v>
      </c>
      <c r="E770" s="40">
        <f>E771</f>
        <v>85308.18</v>
      </c>
      <c r="F770" s="40">
        <f>F771</f>
        <v>740.28</v>
      </c>
      <c r="G770" s="25">
        <f t="shared" si="32"/>
        <v>86048.45999999999</v>
      </c>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row>
    <row r="771" spans="1:34" s="3" customFormat="1" ht="30.75">
      <c r="A771" s="48" t="s">
        <v>666</v>
      </c>
      <c r="B771" s="33" t="s">
        <v>481</v>
      </c>
      <c r="C771" s="36" t="s">
        <v>485</v>
      </c>
      <c r="D771" s="36">
        <v>240</v>
      </c>
      <c r="E771" s="40">
        <v>85308.18</v>
      </c>
      <c r="F771" s="40">
        <v>740.28</v>
      </c>
      <c r="G771" s="25">
        <f t="shared" si="32"/>
        <v>86048.45999999999</v>
      </c>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row>
    <row r="772" spans="1:34" s="3" customFormat="1" ht="15">
      <c r="A772" s="48" t="s">
        <v>115</v>
      </c>
      <c r="B772" s="33" t="s">
        <v>481</v>
      </c>
      <c r="C772" s="36" t="s">
        <v>485</v>
      </c>
      <c r="D772" s="36">
        <v>300</v>
      </c>
      <c r="E772" s="40">
        <f>E773</f>
        <v>8567063.82</v>
      </c>
      <c r="F772" s="40">
        <f>F773</f>
        <v>74044.72</v>
      </c>
      <c r="G772" s="25">
        <f t="shared" si="32"/>
        <v>8641108.540000001</v>
      </c>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row>
    <row r="773" spans="1:34" s="3" customFormat="1" ht="15">
      <c r="A773" s="48" t="s">
        <v>475</v>
      </c>
      <c r="B773" s="33" t="s">
        <v>481</v>
      </c>
      <c r="C773" s="36" t="s">
        <v>485</v>
      </c>
      <c r="D773" s="36">
        <v>310</v>
      </c>
      <c r="E773" s="40">
        <v>8567063.82</v>
      </c>
      <c r="F773" s="40">
        <v>74044.72</v>
      </c>
      <c r="G773" s="25">
        <f t="shared" si="32"/>
        <v>8641108.540000001</v>
      </c>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row>
    <row r="774" spans="1:34" s="3" customFormat="1" ht="30.75">
      <c r="A774" s="48" t="s">
        <v>486</v>
      </c>
      <c r="B774" s="33" t="s">
        <v>481</v>
      </c>
      <c r="C774" s="36" t="s">
        <v>487</v>
      </c>
      <c r="D774" s="36"/>
      <c r="E774" s="40">
        <f>E777+E775</f>
        <v>28179832</v>
      </c>
      <c r="F774" s="40">
        <f>F777+F775</f>
        <v>5433964</v>
      </c>
      <c r="G774" s="25">
        <f t="shared" si="32"/>
        <v>33613796</v>
      </c>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row>
    <row r="775" spans="1:34" s="3" customFormat="1" ht="30.75">
      <c r="A775" s="35" t="s">
        <v>664</v>
      </c>
      <c r="B775" s="33" t="s">
        <v>481</v>
      </c>
      <c r="C775" s="36" t="s">
        <v>487</v>
      </c>
      <c r="D775" s="36">
        <v>200</v>
      </c>
      <c r="E775" s="40">
        <f>E776</f>
        <v>284617</v>
      </c>
      <c r="F775" s="40">
        <f>F776</f>
        <v>47464</v>
      </c>
      <c r="G775" s="25">
        <f t="shared" si="32"/>
        <v>332081</v>
      </c>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row>
    <row r="776" spans="1:34" s="3" customFormat="1" ht="30.75">
      <c r="A776" s="48" t="s">
        <v>666</v>
      </c>
      <c r="B776" s="33" t="s">
        <v>481</v>
      </c>
      <c r="C776" s="36" t="s">
        <v>487</v>
      </c>
      <c r="D776" s="36">
        <v>240</v>
      </c>
      <c r="E776" s="40">
        <v>284617</v>
      </c>
      <c r="F776" s="40">
        <v>47464</v>
      </c>
      <c r="G776" s="25">
        <f t="shared" si="32"/>
        <v>332081</v>
      </c>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row>
    <row r="777" spans="1:34" s="3" customFormat="1" ht="15">
      <c r="A777" s="48" t="s">
        <v>115</v>
      </c>
      <c r="B777" s="33" t="s">
        <v>481</v>
      </c>
      <c r="C777" s="36" t="s">
        <v>487</v>
      </c>
      <c r="D777" s="36">
        <v>300</v>
      </c>
      <c r="E777" s="40">
        <f>E778</f>
        <v>27895215</v>
      </c>
      <c r="F777" s="40">
        <f>F778</f>
        <v>5386500</v>
      </c>
      <c r="G777" s="25">
        <f t="shared" si="32"/>
        <v>33281715</v>
      </c>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row>
    <row r="778" spans="1:34" s="3" customFormat="1" ht="15">
      <c r="A778" s="48" t="s">
        <v>475</v>
      </c>
      <c r="B778" s="33" t="s">
        <v>481</v>
      </c>
      <c r="C778" s="36" t="s">
        <v>487</v>
      </c>
      <c r="D778" s="36">
        <v>310</v>
      </c>
      <c r="E778" s="40">
        <v>27895215</v>
      </c>
      <c r="F778" s="40">
        <v>5386500</v>
      </c>
      <c r="G778" s="25">
        <f t="shared" si="32"/>
        <v>33281715</v>
      </c>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row>
    <row r="779" spans="1:34" s="3" customFormat="1" ht="46.5">
      <c r="A779" s="48" t="s">
        <v>488</v>
      </c>
      <c r="B779" s="33" t="s">
        <v>481</v>
      </c>
      <c r="C779" s="36" t="s">
        <v>489</v>
      </c>
      <c r="D779" s="36"/>
      <c r="E779" s="40">
        <f>E782+E780</f>
        <v>280132180</v>
      </c>
      <c r="F779" s="40">
        <f>F782+F780</f>
        <v>0</v>
      </c>
      <c r="G779" s="25">
        <f t="shared" si="32"/>
        <v>280132180</v>
      </c>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row>
    <row r="780" spans="1:34" s="3" customFormat="1" ht="30.75">
      <c r="A780" s="35" t="s">
        <v>664</v>
      </c>
      <c r="B780" s="33" t="s">
        <v>481</v>
      </c>
      <c r="C780" s="36" t="s">
        <v>489</v>
      </c>
      <c r="D780" s="36">
        <v>200</v>
      </c>
      <c r="E780" s="40">
        <f>E781</f>
        <v>3501653</v>
      </c>
      <c r="F780" s="40">
        <f>F781</f>
        <v>0</v>
      </c>
      <c r="G780" s="25">
        <f t="shared" si="32"/>
        <v>3501653</v>
      </c>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row>
    <row r="781" spans="1:34" s="3" customFormat="1" ht="30.75">
      <c r="A781" s="48" t="s">
        <v>666</v>
      </c>
      <c r="B781" s="33" t="s">
        <v>481</v>
      </c>
      <c r="C781" s="36" t="s">
        <v>489</v>
      </c>
      <c r="D781" s="36">
        <v>240</v>
      </c>
      <c r="E781" s="40">
        <v>3501653</v>
      </c>
      <c r="F781" s="40">
        <v>0</v>
      </c>
      <c r="G781" s="25">
        <f t="shared" si="32"/>
        <v>3501653</v>
      </c>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row>
    <row r="782" spans="1:34" s="3" customFormat="1" ht="15">
      <c r="A782" s="48" t="s">
        <v>115</v>
      </c>
      <c r="B782" s="33" t="s">
        <v>481</v>
      </c>
      <c r="C782" s="36" t="s">
        <v>489</v>
      </c>
      <c r="D782" s="36">
        <v>300</v>
      </c>
      <c r="E782" s="40">
        <f>SUM(E783:E784)</f>
        <v>276630527</v>
      </c>
      <c r="F782" s="40">
        <f>SUM(F783:F784)</f>
        <v>0</v>
      </c>
      <c r="G782" s="25">
        <f t="shared" si="32"/>
        <v>276630527</v>
      </c>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row>
    <row r="783" spans="1:34" s="3" customFormat="1" ht="15">
      <c r="A783" s="48" t="s">
        <v>475</v>
      </c>
      <c r="B783" s="33" t="s">
        <v>481</v>
      </c>
      <c r="C783" s="36" t="s">
        <v>489</v>
      </c>
      <c r="D783" s="36">
        <v>310</v>
      </c>
      <c r="E783" s="40">
        <v>240821160</v>
      </c>
      <c r="F783" s="40">
        <v>0</v>
      </c>
      <c r="G783" s="25">
        <f t="shared" si="32"/>
        <v>240821160</v>
      </c>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row>
    <row r="784" spans="1:34" s="3" customFormat="1" ht="30.75">
      <c r="A784" s="48" t="s">
        <v>116</v>
      </c>
      <c r="B784" s="33" t="s">
        <v>481</v>
      </c>
      <c r="C784" s="36" t="s">
        <v>489</v>
      </c>
      <c r="D784" s="36">
        <v>320</v>
      </c>
      <c r="E784" s="40">
        <v>35809367</v>
      </c>
      <c r="F784" s="40">
        <v>0</v>
      </c>
      <c r="G784" s="25">
        <f t="shared" si="32"/>
        <v>35809367</v>
      </c>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row>
    <row r="785" spans="1:34" s="3" customFormat="1" ht="46.5">
      <c r="A785" s="48" t="s">
        <v>490</v>
      </c>
      <c r="B785" s="33" t="s">
        <v>481</v>
      </c>
      <c r="C785" s="36" t="s">
        <v>491</v>
      </c>
      <c r="D785" s="36"/>
      <c r="E785" s="40">
        <f>E788+E786</f>
        <v>49261</v>
      </c>
      <c r="F785" s="40">
        <f>F788+F786</f>
        <v>0</v>
      </c>
      <c r="G785" s="25">
        <f t="shared" si="32"/>
        <v>49261</v>
      </c>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row>
    <row r="786" spans="1:34" s="3" customFormat="1" ht="30.75">
      <c r="A786" s="35" t="s">
        <v>664</v>
      </c>
      <c r="B786" s="33" t="s">
        <v>481</v>
      </c>
      <c r="C786" s="36" t="s">
        <v>491</v>
      </c>
      <c r="D786" s="36">
        <v>200</v>
      </c>
      <c r="E786" s="40">
        <f>E787</f>
        <v>488</v>
      </c>
      <c r="F786" s="40">
        <f>F787</f>
        <v>0</v>
      </c>
      <c r="G786" s="25">
        <f t="shared" si="32"/>
        <v>488</v>
      </c>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row>
    <row r="787" spans="1:34" s="3" customFormat="1" ht="30.75">
      <c r="A787" s="48" t="s">
        <v>666</v>
      </c>
      <c r="B787" s="33" t="s">
        <v>481</v>
      </c>
      <c r="C787" s="36" t="s">
        <v>491</v>
      </c>
      <c r="D787" s="36">
        <v>240</v>
      </c>
      <c r="E787" s="40">
        <v>488</v>
      </c>
      <c r="F787" s="40">
        <v>0</v>
      </c>
      <c r="G787" s="25">
        <f t="shared" si="32"/>
        <v>488</v>
      </c>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row>
    <row r="788" spans="1:34" s="3" customFormat="1" ht="15">
      <c r="A788" s="48" t="s">
        <v>115</v>
      </c>
      <c r="B788" s="33" t="s">
        <v>481</v>
      </c>
      <c r="C788" s="36" t="s">
        <v>491</v>
      </c>
      <c r="D788" s="36">
        <v>300</v>
      </c>
      <c r="E788" s="40">
        <f>E789</f>
        <v>48773</v>
      </c>
      <c r="F788" s="40">
        <f>F789</f>
        <v>0</v>
      </c>
      <c r="G788" s="25">
        <f t="shared" si="32"/>
        <v>48773</v>
      </c>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row>
    <row r="789" spans="1:34" s="3" customFormat="1" ht="15">
      <c r="A789" s="48" t="s">
        <v>475</v>
      </c>
      <c r="B789" s="33" t="s">
        <v>481</v>
      </c>
      <c r="C789" s="36" t="s">
        <v>491</v>
      </c>
      <c r="D789" s="36">
        <v>310</v>
      </c>
      <c r="E789" s="40">
        <v>48773</v>
      </c>
      <c r="F789" s="40">
        <v>0</v>
      </c>
      <c r="G789" s="25">
        <f t="shared" si="32"/>
        <v>48773</v>
      </c>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row>
    <row r="790" spans="1:34" s="3" customFormat="1" ht="30.75">
      <c r="A790" s="31" t="s">
        <v>492</v>
      </c>
      <c r="B790" s="24" t="s">
        <v>481</v>
      </c>
      <c r="C790" s="26" t="s">
        <v>493</v>
      </c>
      <c r="D790" s="26"/>
      <c r="E790" s="49">
        <f>E793+E791</f>
        <v>500000</v>
      </c>
      <c r="F790" s="49">
        <f>F793+F791</f>
        <v>0</v>
      </c>
      <c r="G790" s="25">
        <f t="shared" si="32"/>
        <v>500000</v>
      </c>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row>
    <row r="791" spans="1:34" s="3" customFormat="1" ht="30.75">
      <c r="A791" s="28" t="s">
        <v>664</v>
      </c>
      <c r="B791" s="24" t="s">
        <v>481</v>
      </c>
      <c r="C791" s="26" t="s">
        <v>493</v>
      </c>
      <c r="D791" s="26">
        <v>200</v>
      </c>
      <c r="E791" s="49">
        <f>E792</f>
        <v>5000</v>
      </c>
      <c r="F791" s="49">
        <f>F792</f>
        <v>0</v>
      </c>
      <c r="G791" s="25">
        <f t="shared" si="32"/>
        <v>5000</v>
      </c>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row>
    <row r="792" spans="1:34" s="3" customFormat="1" ht="30.75">
      <c r="A792" s="31" t="s">
        <v>666</v>
      </c>
      <c r="B792" s="24" t="s">
        <v>481</v>
      </c>
      <c r="C792" s="26" t="s">
        <v>493</v>
      </c>
      <c r="D792" s="26">
        <v>240</v>
      </c>
      <c r="E792" s="49">
        <v>5000</v>
      </c>
      <c r="F792" s="49">
        <v>0</v>
      </c>
      <c r="G792" s="25">
        <f t="shared" si="32"/>
        <v>5000</v>
      </c>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row>
    <row r="793" spans="1:34" s="3" customFormat="1" ht="15">
      <c r="A793" s="31" t="s">
        <v>115</v>
      </c>
      <c r="B793" s="24" t="s">
        <v>481</v>
      </c>
      <c r="C793" s="26" t="s">
        <v>493</v>
      </c>
      <c r="D793" s="26">
        <v>300</v>
      </c>
      <c r="E793" s="49">
        <f>E794</f>
        <v>495000</v>
      </c>
      <c r="F793" s="49">
        <f>F794</f>
        <v>0</v>
      </c>
      <c r="G793" s="25">
        <f t="shared" si="32"/>
        <v>495000</v>
      </c>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row>
    <row r="794" spans="1:34" s="3" customFormat="1" ht="15">
      <c r="A794" s="31" t="s">
        <v>475</v>
      </c>
      <c r="B794" s="24" t="s">
        <v>481</v>
      </c>
      <c r="C794" s="26" t="s">
        <v>493</v>
      </c>
      <c r="D794" s="26">
        <v>310</v>
      </c>
      <c r="E794" s="49">
        <v>495000</v>
      </c>
      <c r="F794" s="49">
        <v>0</v>
      </c>
      <c r="G794" s="25">
        <f t="shared" si="32"/>
        <v>495000</v>
      </c>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row>
    <row r="795" spans="1:34" s="3" customFormat="1" ht="62.25">
      <c r="A795" s="31" t="s">
        <v>494</v>
      </c>
      <c r="B795" s="24" t="s">
        <v>481</v>
      </c>
      <c r="C795" s="26" t="s">
        <v>495</v>
      </c>
      <c r="D795" s="26"/>
      <c r="E795" s="49">
        <f>SUM(E798,E796)</f>
        <v>100000</v>
      </c>
      <c r="F795" s="49">
        <f>SUM(F798,F796)</f>
        <v>0</v>
      </c>
      <c r="G795" s="25">
        <f t="shared" si="32"/>
        <v>100000</v>
      </c>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row>
    <row r="796" spans="1:34" s="3" customFormat="1" ht="30.75">
      <c r="A796" s="28" t="s">
        <v>664</v>
      </c>
      <c r="B796" s="24" t="s">
        <v>481</v>
      </c>
      <c r="C796" s="26" t="s">
        <v>495</v>
      </c>
      <c r="D796" s="26">
        <v>200</v>
      </c>
      <c r="E796" s="49">
        <f>E797</f>
        <v>1000</v>
      </c>
      <c r="F796" s="49">
        <f>F797</f>
        <v>0</v>
      </c>
      <c r="G796" s="25">
        <f t="shared" si="32"/>
        <v>1000</v>
      </c>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row>
    <row r="797" spans="1:34" s="3" customFormat="1" ht="30.75">
      <c r="A797" s="31" t="s">
        <v>666</v>
      </c>
      <c r="B797" s="24" t="s">
        <v>481</v>
      </c>
      <c r="C797" s="26" t="s">
        <v>495</v>
      </c>
      <c r="D797" s="26">
        <v>240</v>
      </c>
      <c r="E797" s="49">
        <v>1000</v>
      </c>
      <c r="F797" s="49">
        <v>0</v>
      </c>
      <c r="G797" s="25">
        <f t="shared" si="32"/>
        <v>1000</v>
      </c>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c r="AH797" s="32"/>
    </row>
    <row r="798" spans="1:34" s="3" customFormat="1" ht="15">
      <c r="A798" s="31" t="s">
        <v>115</v>
      </c>
      <c r="B798" s="24" t="s">
        <v>481</v>
      </c>
      <c r="C798" s="26" t="s">
        <v>495</v>
      </c>
      <c r="D798" s="26">
        <v>300</v>
      </c>
      <c r="E798" s="49">
        <f>E799</f>
        <v>99000</v>
      </c>
      <c r="F798" s="49">
        <f>F799</f>
        <v>0</v>
      </c>
      <c r="G798" s="25">
        <f t="shared" si="32"/>
        <v>99000</v>
      </c>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row>
    <row r="799" spans="1:34" s="3" customFormat="1" ht="15">
      <c r="A799" s="31" t="s">
        <v>475</v>
      </c>
      <c r="B799" s="24" t="s">
        <v>481</v>
      </c>
      <c r="C799" s="26" t="s">
        <v>495</v>
      </c>
      <c r="D799" s="26">
        <v>310</v>
      </c>
      <c r="E799" s="49">
        <v>99000</v>
      </c>
      <c r="F799" s="49">
        <v>0</v>
      </c>
      <c r="G799" s="25">
        <f t="shared" si="32"/>
        <v>99000</v>
      </c>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c r="AH799" s="32"/>
    </row>
    <row r="800" spans="1:34" s="3" customFormat="1" ht="30.75">
      <c r="A800" s="31" t="s">
        <v>496</v>
      </c>
      <c r="B800" s="24" t="s">
        <v>481</v>
      </c>
      <c r="C800" s="26" t="s">
        <v>497</v>
      </c>
      <c r="D800" s="26"/>
      <c r="E800" s="49">
        <f>E803+E801</f>
        <v>650000</v>
      </c>
      <c r="F800" s="49">
        <f>F803+F801</f>
        <v>0</v>
      </c>
      <c r="G800" s="25">
        <f t="shared" si="32"/>
        <v>650000</v>
      </c>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c r="AH800" s="32"/>
    </row>
    <row r="801" spans="1:34" s="3" customFormat="1" ht="30.75">
      <c r="A801" s="28" t="s">
        <v>664</v>
      </c>
      <c r="B801" s="24" t="s">
        <v>481</v>
      </c>
      <c r="C801" s="26" t="s">
        <v>497</v>
      </c>
      <c r="D801" s="26">
        <v>200</v>
      </c>
      <c r="E801" s="49">
        <f>E802</f>
        <v>128000</v>
      </c>
      <c r="F801" s="49">
        <f>F802</f>
        <v>0</v>
      </c>
      <c r="G801" s="25">
        <f t="shared" si="32"/>
        <v>128000</v>
      </c>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c r="AH801" s="32"/>
    </row>
    <row r="802" spans="1:34" s="3" customFormat="1" ht="30.75">
      <c r="A802" s="31" t="s">
        <v>666</v>
      </c>
      <c r="B802" s="24">
        <v>1003</v>
      </c>
      <c r="C802" s="26" t="s">
        <v>497</v>
      </c>
      <c r="D802" s="26">
        <v>240</v>
      </c>
      <c r="E802" s="49">
        <v>128000</v>
      </c>
      <c r="F802" s="49">
        <v>0</v>
      </c>
      <c r="G802" s="25">
        <f t="shared" si="32"/>
        <v>128000</v>
      </c>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c r="AH802" s="32"/>
    </row>
    <row r="803" spans="1:34" s="3" customFormat="1" ht="15">
      <c r="A803" s="31" t="s">
        <v>115</v>
      </c>
      <c r="B803" s="24" t="s">
        <v>481</v>
      </c>
      <c r="C803" s="26" t="s">
        <v>497</v>
      </c>
      <c r="D803" s="26">
        <v>300</v>
      </c>
      <c r="E803" s="49">
        <f>E804</f>
        <v>522000</v>
      </c>
      <c r="F803" s="49">
        <f>F804</f>
        <v>0</v>
      </c>
      <c r="G803" s="25">
        <f t="shared" si="32"/>
        <v>522000</v>
      </c>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c r="AH803" s="32"/>
    </row>
    <row r="804" spans="1:34" s="3" customFormat="1" ht="15">
      <c r="A804" s="31" t="s">
        <v>475</v>
      </c>
      <c r="B804" s="24" t="s">
        <v>481</v>
      </c>
      <c r="C804" s="26" t="s">
        <v>497</v>
      </c>
      <c r="D804" s="26">
        <v>310</v>
      </c>
      <c r="E804" s="49">
        <v>522000</v>
      </c>
      <c r="F804" s="49">
        <v>0</v>
      </c>
      <c r="G804" s="25">
        <f t="shared" si="32"/>
        <v>522000</v>
      </c>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c r="AH804" s="32"/>
    </row>
    <row r="805" spans="1:34" s="3" customFormat="1" ht="30.75">
      <c r="A805" s="31" t="s">
        <v>498</v>
      </c>
      <c r="B805" s="24">
        <v>1003</v>
      </c>
      <c r="C805" s="26" t="s">
        <v>499</v>
      </c>
      <c r="D805" s="26"/>
      <c r="E805" s="49">
        <f>E808+E806</f>
        <v>5000000</v>
      </c>
      <c r="F805" s="49">
        <f>F808+F806</f>
        <v>0</v>
      </c>
      <c r="G805" s="25">
        <f t="shared" si="32"/>
        <v>5000000</v>
      </c>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c r="AH805" s="32"/>
    </row>
    <row r="806" spans="1:34" s="3" customFormat="1" ht="30.75">
      <c r="A806" s="28" t="s">
        <v>664</v>
      </c>
      <c r="B806" s="24">
        <v>1003</v>
      </c>
      <c r="C806" s="26" t="s">
        <v>499</v>
      </c>
      <c r="D806" s="26">
        <v>200</v>
      </c>
      <c r="E806" s="49">
        <f>E807</f>
        <v>50000</v>
      </c>
      <c r="F806" s="49">
        <f>F807</f>
        <v>0</v>
      </c>
      <c r="G806" s="25">
        <f t="shared" si="32"/>
        <v>50000</v>
      </c>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row>
    <row r="807" spans="1:34" s="3" customFormat="1" ht="30.75">
      <c r="A807" s="31" t="s">
        <v>666</v>
      </c>
      <c r="B807" s="24">
        <v>1003</v>
      </c>
      <c r="C807" s="26" t="s">
        <v>499</v>
      </c>
      <c r="D807" s="26">
        <v>240</v>
      </c>
      <c r="E807" s="49">
        <v>50000</v>
      </c>
      <c r="F807" s="49">
        <v>0</v>
      </c>
      <c r="G807" s="25">
        <f t="shared" si="32"/>
        <v>50000</v>
      </c>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c r="AH807" s="32"/>
    </row>
    <row r="808" spans="1:34" s="3" customFormat="1" ht="15">
      <c r="A808" s="31" t="s">
        <v>115</v>
      </c>
      <c r="B808" s="24" t="s">
        <v>481</v>
      </c>
      <c r="C808" s="26" t="s">
        <v>499</v>
      </c>
      <c r="D808" s="26">
        <v>300</v>
      </c>
      <c r="E808" s="49">
        <f>E809</f>
        <v>4950000</v>
      </c>
      <c r="F808" s="49">
        <f>F809</f>
        <v>0</v>
      </c>
      <c r="G808" s="25">
        <f t="shared" si="32"/>
        <v>4950000</v>
      </c>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c r="AH808" s="32"/>
    </row>
    <row r="809" spans="1:34" s="3" customFormat="1" ht="15">
      <c r="A809" s="31" t="s">
        <v>475</v>
      </c>
      <c r="B809" s="24" t="s">
        <v>481</v>
      </c>
      <c r="C809" s="26" t="s">
        <v>499</v>
      </c>
      <c r="D809" s="26">
        <v>310</v>
      </c>
      <c r="E809" s="49">
        <v>4950000</v>
      </c>
      <c r="F809" s="49">
        <v>0</v>
      </c>
      <c r="G809" s="25">
        <f t="shared" si="32"/>
        <v>4950000</v>
      </c>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row>
    <row r="810" spans="1:34" s="3" customFormat="1" ht="15">
      <c r="A810" s="31" t="s">
        <v>500</v>
      </c>
      <c r="B810" s="24">
        <v>1003</v>
      </c>
      <c r="C810" s="26" t="s">
        <v>501</v>
      </c>
      <c r="D810" s="26"/>
      <c r="E810" s="49">
        <f>E813+E811</f>
        <v>330000</v>
      </c>
      <c r="F810" s="49">
        <f>F813+F811</f>
        <v>0</v>
      </c>
      <c r="G810" s="25">
        <f t="shared" si="32"/>
        <v>330000</v>
      </c>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row>
    <row r="811" spans="1:34" s="3" customFormat="1" ht="30.75">
      <c r="A811" s="28" t="s">
        <v>664</v>
      </c>
      <c r="B811" s="24">
        <v>1003</v>
      </c>
      <c r="C811" s="26" t="s">
        <v>501</v>
      </c>
      <c r="D811" s="26">
        <v>200</v>
      </c>
      <c r="E811" s="49">
        <f>E812</f>
        <v>4000</v>
      </c>
      <c r="F811" s="49">
        <f>F812</f>
        <v>0</v>
      </c>
      <c r="G811" s="25">
        <f t="shared" si="32"/>
        <v>4000</v>
      </c>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c r="AH811" s="32"/>
    </row>
    <row r="812" spans="1:34" s="3" customFormat="1" ht="30.75">
      <c r="A812" s="31" t="s">
        <v>666</v>
      </c>
      <c r="B812" s="24">
        <v>1003</v>
      </c>
      <c r="C812" s="26" t="s">
        <v>501</v>
      </c>
      <c r="D812" s="26">
        <v>240</v>
      </c>
      <c r="E812" s="49">
        <v>4000</v>
      </c>
      <c r="F812" s="49">
        <v>0</v>
      </c>
      <c r="G812" s="25">
        <f t="shared" si="32"/>
        <v>4000</v>
      </c>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c r="AH812" s="32"/>
    </row>
    <row r="813" spans="1:34" s="3" customFormat="1" ht="15">
      <c r="A813" s="31" t="s">
        <v>115</v>
      </c>
      <c r="B813" s="24" t="s">
        <v>481</v>
      </c>
      <c r="C813" s="26" t="s">
        <v>501</v>
      </c>
      <c r="D813" s="26">
        <v>300</v>
      </c>
      <c r="E813" s="49">
        <f>E814</f>
        <v>326000</v>
      </c>
      <c r="F813" s="49">
        <f>F814</f>
        <v>0</v>
      </c>
      <c r="G813" s="25">
        <f t="shared" si="32"/>
        <v>326000</v>
      </c>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c r="AH813" s="32"/>
    </row>
    <row r="814" spans="1:34" s="3" customFormat="1" ht="15">
      <c r="A814" s="31" t="s">
        <v>475</v>
      </c>
      <c r="B814" s="24" t="s">
        <v>481</v>
      </c>
      <c r="C814" s="26" t="s">
        <v>501</v>
      </c>
      <c r="D814" s="26">
        <v>310</v>
      </c>
      <c r="E814" s="49">
        <v>326000</v>
      </c>
      <c r="F814" s="49">
        <v>0</v>
      </c>
      <c r="G814" s="25">
        <f t="shared" si="32"/>
        <v>326000</v>
      </c>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c r="AH814" s="32"/>
    </row>
    <row r="815" spans="1:34" s="3" customFormat="1" ht="30.75">
      <c r="A815" s="48" t="s">
        <v>502</v>
      </c>
      <c r="B815" s="33" t="s">
        <v>481</v>
      </c>
      <c r="C815" s="36" t="s">
        <v>503</v>
      </c>
      <c r="D815" s="36"/>
      <c r="E815" s="40">
        <f>E818+E816</f>
        <v>17956483</v>
      </c>
      <c r="F815" s="40">
        <f>F818+F816</f>
        <v>0</v>
      </c>
      <c r="G815" s="25">
        <f t="shared" si="32"/>
        <v>17956483</v>
      </c>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c r="AH815" s="32"/>
    </row>
    <row r="816" spans="1:34" s="3" customFormat="1" ht="30.75">
      <c r="A816" s="35" t="s">
        <v>664</v>
      </c>
      <c r="B816" s="33" t="s">
        <v>481</v>
      </c>
      <c r="C816" s="36" t="s">
        <v>503</v>
      </c>
      <c r="D816" s="36">
        <v>200</v>
      </c>
      <c r="E816" s="40">
        <f>E817</f>
        <v>165200</v>
      </c>
      <c r="F816" s="40">
        <f>F817</f>
        <v>0</v>
      </c>
      <c r="G816" s="25">
        <f t="shared" si="32"/>
        <v>165200</v>
      </c>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row>
    <row r="817" spans="1:34" s="3" customFormat="1" ht="30.75">
      <c r="A817" s="48" t="s">
        <v>666</v>
      </c>
      <c r="B817" s="33" t="s">
        <v>481</v>
      </c>
      <c r="C817" s="36" t="s">
        <v>503</v>
      </c>
      <c r="D817" s="36">
        <v>240</v>
      </c>
      <c r="E817" s="40">
        <v>165200</v>
      </c>
      <c r="F817" s="40">
        <v>0</v>
      </c>
      <c r="G817" s="25">
        <f aca="true" t="shared" si="34" ref="G817:G880">SUM(E817:F817)</f>
        <v>165200</v>
      </c>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c r="AH817" s="32"/>
    </row>
    <row r="818" spans="1:34" s="3" customFormat="1" ht="15">
      <c r="A818" s="48" t="s">
        <v>115</v>
      </c>
      <c r="B818" s="33" t="s">
        <v>481</v>
      </c>
      <c r="C818" s="36" t="s">
        <v>503</v>
      </c>
      <c r="D818" s="36">
        <v>300</v>
      </c>
      <c r="E818" s="40">
        <f>E819</f>
        <v>17791283</v>
      </c>
      <c r="F818" s="40">
        <f>F819</f>
        <v>0</v>
      </c>
      <c r="G818" s="25">
        <f t="shared" si="34"/>
        <v>17791283</v>
      </c>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c r="AH818" s="32"/>
    </row>
    <row r="819" spans="1:34" s="3" customFormat="1" ht="15">
      <c r="A819" s="48" t="s">
        <v>475</v>
      </c>
      <c r="B819" s="33" t="s">
        <v>481</v>
      </c>
      <c r="C819" s="36" t="s">
        <v>503</v>
      </c>
      <c r="D819" s="36">
        <v>310</v>
      </c>
      <c r="E819" s="40">
        <v>17791283</v>
      </c>
      <c r="F819" s="40">
        <v>0</v>
      </c>
      <c r="G819" s="25">
        <f t="shared" si="34"/>
        <v>17791283</v>
      </c>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c r="AH819" s="32"/>
    </row>
    <row r="820" spans="1:34" s="3" customFormat="1" ht="46.5">
      <c r="A820" s="48" t="s">
        <v>504</v>
      </c>
      <c r="B820" s="33" t="s">
        <v>481</v>
      </c>
      <c r="C820" s="36" t="s">
        <v>505</v>
      </c>
      <c r="D820" s="36"/>
      <c r="E820" s="40">
        <f>E821</f>
        <v>2062158</v>
      </c>
      <c r="F820" s="40">
        <f>F821</f>
        <v>0</v>
      </c>
      <c r="G820" s="25">
        <f t="shared" si="34"/>
        <v>2062158</v>
      </c>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c r="AH820" s="32"/>
    </row>
    <row r="821" spans="1:34" s="3" customFormat="1" ht="15">
      <c r="A821" s="48" t="s">
        <v>115</v>
      </c>
      <c r="B821" s="33" t="s">
        <v>481</v>
      </c>
      <c r="C821" s="36" t="s">
        <v>505</v>
      </c>
      <c r="D821" s="36">
        <v>300</v>
      </c>
      <c r="E821" s="40">
        <f>E822</f>
        <v>2062158</v>
      </c>
      <c r="F821" s="40">
        <f>F822</f>
        <v>0</v>
      </c>
      <c r="G821" s="25">
        <f t="shared" si="34"/>
        <v>2062158</v>
      </c>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row>
    <row r="822" spans="1:34" s="3" customFormat="1" ht="15">
      <c r="A822" s="48" t="s">
        <v>475</v>
      </c>
      <c r="B822" s="33" t="s">
        <v>481</v>
      </c>
      <c r="C822" s="36" t="s">
        <v>505</v>
      </c>
      <c r="D822" s="36">
        <v>310</v>
      </c>
      <c r="E822" s="40">
        <v>2062158</v>
      </c>
      <c r="F822" s="40">
        <v>0</v>
      </c>
      <c r="G822" s="25">
        <f t="shared" si="34"/>
        <v>2062158</v>
      </c>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row>
    <row r="823" spans="1:34" s="3" customFormat="1" ht="15">
      <c r="A823" s="30" t="s">
        <v>149</v>
      </c>
      <c r="B823" s="24">
        <v>1003</v>
      </c>
      <c r="C823" s="26" t="s">
        <v>150</v>
      </c>
      <c r="D823" s="26"/>
      <c r="E823" s="27">
        <f>SUM(E824,E827,E830,E833)</f>
        <v>3850000</v>
      </c>
      <c r="F823" s="27">
        <f>SUM(F824,F827,F830,F833)</f>
        <v>0</v>
      </c>
      <c r="G823" s="25">
        <f t="shared" si="34"/>
        <v>3850000</v>
      </c>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c r="AH823" s="32"/>
    </row>
    <row r="824" spans="1:34" s="3" customFormat="1" ht="66.75" customHeight="1">
      <c r="A824" s="31" t="s">
        <v>219</v>
      </c>
      <c r="B824" s="24">
        <v>1003</v>
      </c>
      <c r="C824" s="26" t="s">
        <v>220</v>
      </c>
      <c r="D824" s="26"/>
      <c r="E824" s="49">
        <f>E825</f>
        <v>600000</v>
      </c>
      <c r="F824" s="49">
        <f>F825</f>
        <v>0</v>
      </c>
      <c r="G824" s="25">
        <f t="shared" si="34"/>
        <v>600000</v>
      </c>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c r="AH824" s="32"/>
    </row>
    <row r="825" spans="1:34" s="3" customFormat="1" ht="30.75">
      <c r="A825" s="28" t="s">
        <v>664</v>
      </c>
      <c r="B825" s="24">
        <v>1003</v>
      </c>
      <c r="C825" s="26" t="s">
        <v>220</v>
      </c>
      <c r="D825" s="26">
        <v>200</v>
      </c>
      <c r="E825" s="49">
        <f>E826</f>
        <v>600000</v>
      </c>
      <c r="F825" s="49">
        <f>F826</f>
        <v>0</v>
      </c>
      <c r="G825" s="25">
        <f t="shared" si="34"/>
        <v>600000</v>
      </c>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c r="AH825" s="32"/>
    </row>
    <row r="826" spans="1:34" s="3" customFormat="1" ht="30.75">
      <c r="A826" s="28" t="s">
        <v>666</v>
      </c>
      <c r="B826" s="24">
        <v>1003</v>
      </c>
      <c r="C826" s="26" t="s">
        <v>220</v>
      </c>
      <c r="D826" s="26">
        <v>240</v>
      </c>
      <c r="E826" s="49">
        <v>600000</v>
      </c>
      <c r="F826" s="49">
        <v>0</v>
      </c>
      <c r="G826" s="25">
        <f t="shared" si="34"/>
        <v>600000</v>
      </c>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row>
    <row r="827" spans="1:34" s="3" customFormat="1" ht="30.75">
      <c r="A827" s="61" t="s">
        <v>506</v>
      </c>
      <c r="B827" s="24">
        <v>1003</v>
      </c>
      <c r="C827" s="26" t="s">
        <v>507</v>
      </c>
      <c r="D827" s="26"/>
      <c r="E827" s="49">
        <f>E828</f>
        <v>1850000</v>
      </c>
      <c r="F827" s="49">
        <f>F828</f>
        <v>0</v>
      </c>
      <c r="G827" s="25">
        <f t="shared" si="34"/>
        <v>1850000</v>
      </c>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c r="AH827" s="32"/>
    </row>
    <row r="828" spans="1:34" s="3" customFormat="1" ht="30.75">
      <c r="A828" s="28" t="s">
        <v>664</v>
      </c>
      <c r="B828" s="24">
        <v>1003</v>
      </c>
      <c r="C828" s="26" t="s">
        <v>507</v>
      </c>
      <c r="D828" s="26">
        <v>200</v>
      </c>
      <c r="E828" s="49">
        <f>E829</f>
        <v>1850000</v>
      </c>
      <c r="F828" s="49">
        <f>F829</f>
        <v>0</v>
      </c>
      <c r="G828" s="25">
        <f t="shared" si="34"/>
        <v>1850000</v>
      </c>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c r="AH828" s="32"/>
    </row>
    <row r="829" spans="1:34" s="3" customFormat="1" ht="30.75">
      <c r="A829" s="28" t="s">
        <v>666</v>
      </c>
      <c r="B829" s="24">
        <v>1003</v>
      </c>
      <c r="C829" s="26" t="s">
        <v>507</v>
      </c>
      <c r="D829" s="26">
        <v>240</v>
      </c>
      <c r="E829" s="49">
        <v>1850000</v>
      </c>
      <c r="F829" s="49">
        <v>0</v>
      </c>
      <c r="G829" s="25">
        <f t="shared" si="34"/>
        <v>1850000</v>
      </c>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c r="AH829" s="32"/>
    </row>
    <row r="830" spans="1:34" s="3" customFormat="1" ht="30.75">
      <c r="A830" s="31" t="s">
        <v>508</v>
      </c>
      <c r="B830" s="24">
        <v>1003</v>
      </c>
      <c r="C830" s="26" t="s">
        <v>509</v>
      </c>
      <c r="D830" s="26"/>
      <c r="E830" s="49">
        <f>E831</f>
        <v>1200000</v>
      </c>
      <c r="F830" s="49">
        <f>F831</f>
        <v>0</v>
      </c>
      <c r="G830" s="25">
        <f t="shared" si="34"/>
        <v>1200000</v>
      </c>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c r="AH830" s="32"/>
    </row>
    <row r="831" spans="1:34" s="3" customFormat="1" ht="30.75">
      <c r="A831" s="28" t="s">
        <v>664</v>
      </c>
      <c r="B831" s="24">
        <v>1003</v>
      </c>
      <c r="C831" s="26" t="s">
        <v>509</v>
      </c>
      <c r="D831" s="26">
        <v>200</v>
      </c>
      <c r="E831" s="49">
        <f>E832</f>
        <v>1200000</v>
      </c>
      <c r="F831" s="49">
        <f>F832</f>
        <v>0</v>
      </c>
      <c r="G831" s="25">
        <f t="shared" si="34"/>
        <v>1200000</v>
      </c>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c r="AH831" s="32"/>
    </row>
    <row r="832" spans="1:34" s="3" customFormat="1" ht="30.75">
      <c r="A832" s="28" t="s">
        <v>666</v>
      </c>
      <c r="B832" s="24">
        <v>1003</v>
      </c>
      <c r="C832" s="26" t="s">
        <v>509</v>
      </c>
      <c r="D832" s="26">
        <v>240</v>
      </c>
      <c r="E832" s="49">
        <v>1200000</v>
      </c>
      <c r="F832" s="49">
        <v>0</v>
      </c>
      <c r="G832" s="25">
        <f t="shared" si="34"/>
        <v>1200000</v>
      </c>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c r="AH832" s="32"/>
    </row>
    <row r="833" spans="1:34" s="3" customFormat="1" ht="30.75">
      <c r="A833" s="31" t="s">
        <v>510</v>
      </c>
      <c r="B833" s="24">
        <v>1003</v>
      </c>
      <c r="C833" s="26" t="s">
        <v>511</v>
      </c>
      <c r="D833" s="26"/>
      <c r="E833" s="49">
        <f>E834</f>
        <v>200000</v>
      </c>
      <c r="F833" s="49">
        <f>F834</f>
        <v>0</v>
      </c>
      <c r="G833" s="25">
        <f t="shared" si="34"/>
        <v>200000</v>
      </c>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c r="AH833" s="32"/>
    </row>
    <row r="834" spans="1:34" s="3" customFormat="1" ht="30.75">
      <c r="A834" s="28" t="s">
        <v>664</v>
      </c>
      <c r="B834" s="24">
        <v>1003</v>
      </c>
      <c r="C834" s="26" t="s">
        <v>511</v>
      </c>
      <c r="D834" s="26">
        <v>200</v>
      </c>
      <c r="E834" s="49">
        <f>E835</f>
        <v>200000</v>
      </c>
      <c r="F834" s="49">
        <f>F835</f>
        <v>0</v>
      </c>
      <c r="G834" s="25">
        <f t="shared" si="34"/>
        <v>200000</v>
      </c>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c r="AH834" s="32"/>
    </row>
    <row r="835" spans="1:34" s="3" customFormat="1" ht="30.75">
      <c r="A835" s="28" t="s">
        <v>666</v>
      </c>
      <c r="B835" s="24">
        <v>1003</v>
      </c>
      <c r="C835" s="26" t="s">
        <v>511</v>
      </c>
      <c r="D835" s="26">
        <v>240</v>
      </c>
      <c r="E835" s="49">
        <v>200000</v>
      </c>
      <c r="F835" s="49">
        <v>0</v>
      </c>
      <c r="G835" s="25">
        <f t="shared" si="34"/>
        <v>200000</v>
      </c>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row>
    <row r="836" spans="1:34" s="3" customFormat="1" ht="15">
      <c r="A836" s="31" t="s">
        <v>512</v>
      </c>
      <c r="B836" s="24">
        <v>1003</v>
      </c>
      <c r="C836" s="26" t="s">
        <v>513</v>
      </c>
      <c r="D836" s="26"/>
      <c r="E836" s="49">
        <f>E837</f>
        <v>10980000</v>
      </c>
      <c r="F836" s="49">
        <f>F837</f>
        <v>0</v>
      </c>
      <c r="G836" s="25">
        <f t="shared" si="34"/>
        <v>10980000</v>
      </c>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row>
    <row r="837" spans="1:34" s="3" customFormat="1" ht="30.75">
      <c r="A837" s="31" t="s">
        <v>514</v>
      </c>
      <c r="B837" s="24">
        <v>1003</v>
      </c>
      <c r="C837" s="26" t="s">
        <v>515</v>
      </c>
      <c r="D837" s="26"/>
      <c r="E837" s="49">
        <f>E840+E838</f>
        <v>10980000</v>
      </c>
      <c r="F837" s="49">
        <f>F840+F838</f>
        <v>0</v>
      </c>
      <c r="G837" s="25">
        <f t="shared" si="34"/>
        <v>10980000</v>
      </c>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row>
    <row r="838" spans="1:34" s="3" customFormat="1" ht="30.75">
      <c r="A838" s="28" t="s">
        <v>664</v>
      </c>
      <c r="B838" s="24">
        <v>1003</v>
      </c>
      <c r="C838" s="26" t="s">
        <v>515</v>
      </c>
      <c r="D838" s="26">
        <v>200</v>
      </c>
      <c r="E838" s="49">
        <f>E839</f>
        <v>108713</v>
      </c>
      <c r="F838" s="49">
        <f>F839</f>
        <v>0</v>
      </c>
      <c r="G838" s="25">
        <f t="shared" si="34"/>
        <v>108713</v>
      </c>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row>
    <row r="839" spans="1:34" s="3" customFormat="1" ht="30.75">
      <c r="A839" s="28" t="s">
        <v>666</v>
      </c>
      <c r="B839" s="24">
        <v>1003</v>
      </c>
      <c r="C839" s="26" t="s">
        <v>515</v>
      </c>
      <c r="D839" s="26">
        <v>240</v>
      </c>
      <c r="E839" s="49">
        <v>108713</v>
      </c>
      <c r="F839" s="49">
        <v>0</v>
      </c>
      <c r="G839" s="25">
        <f t="shared" si="34"/>
        <v>108713</v>
      </c>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c r="AH839" s="32"/>
    </row>
    <row r="840" spans="1:34" s="3" customFormat="1" ht="15">
      <c r="A840" s="31" t="s">
        <v>115</v>
      </c>
      <c r="B840" s="24">
        <v>1003</v>
      </c>
      <c r="C840" s="26" t="s">
        <v>515</v>
      </c>
      <c r="D840" s="26">
        <v>300</v>
      </c>
      <c r="E840" s="49">
        <f>E841</f>
        <v>10871287</v>
      </c>
      <c r="F840" s="49">
        <f>F841</f>
        <v>0</v>
      </c>
      <c r="G840" s="25">
        <f t="shared" si="34"/>
        <v>10871287</v>
      </c>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c r="AH840" s="32"/>
    </row>
    <row r="841" spans="1:34" s="3" customFormat="1" ht="30.75">
      <c r="A841" s="31" t="s">
        <v>116</v>
      </c>
      <c r="B841" s="24">
        <v>1003</v>
      </c>
      <c r="C841" s="26" t="s">
        <v>515</v>
      </c>
      <c r="D841" s="26">
        <v>320</v>
      </c>
      <c r="E841" s="49">
        <v>10871287</v>
      </c>
      <c r="F841" s="49">
        <v>0</v>
      </c>
      <c r="G841" s="25">
        <f t="shared" si="34"/>
        <v>10871287</v>
      </c>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c r="AH841" s="32"/>
    </row>
    <row r="842" spans="1:34" s="3" customFormat="1" ht="15.75">
      <c r="A842" s="96" t="s">
        <v>516</v>
      </c>
      <c r="B842" s="21" t="s">
        <v>517</v>
      </c>
      <c r="C842" s="26"/>
      <c r="D842" s="26"/>
      <c r="E842" s="92">
        <f>SUM(E843,E850)</f>
        <v>444787715.7</v>
      </c>
      <c r="F842" s="92">
        <f>SUM(F843,F850)</f>
        <v>28442450</v>
      </c>
      <c r="G842" s="22">
        <f t="shared" si="34"/>
        <v>473230165.7</v>
      </c>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c r="AH842" s="32"/>
    </row>
    <row r="843" spans="1:34" s="3" customFormat="1" ht="30.75">
      <c r="A843" s="31" t="s">
        <v>518</v>
      </c>
      <c r="B843" s="24" t="s">
        <v>517</v>
      </c>
      <c r="C843" s="26" t="s">
        <v>325</v>
      </c>
      <c r="D843" s="26"/>
      <c r="E843" s="27">
        <f>E844</f>
        <v>11751281</v>
      </c>
      <c r="F843" s="27">
        <f>F844</f>
        <v>0</v>
      </c>
      <c r="G843" s="25">
        <f t="shared" si="34"/>
        <v>11751281</v>
      </c>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c r="AH843" s="32"/>
    </row>
    <row r="844" spans="1:34" s="3" customFormat="1" ht="30.75">
      <c r="A844" s="61" t="s">
        <v>406</v>
      </c>
      <c r="B844" s="24" t="s">
        <v>517</v>
      </c>
      <c r="C844" s="26" t="s">
        <v>407</v>
      </c>
      <c r="D844" s="26"/>
      <c r="E844" s="27">
        <f>E845</f>
        <v>11751281</v>
      </c>
      <c r="F844" s="27">
        <f>F845</f>
        <v>0</v>
      </c>
      <c r="G844" s="25">
        <f t="shared" si="34"/>
        <v>11751281</v>
      </c>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row>
    <row r="845" spans="1:34" s="3" customFormat="1" ht="15">
      <c r="A845" s="93" t="s">
        <v>519</v>
      </c>
      <c r="B845" s="33" t="s">
        <v>517</v>
      </c>
      <c r="C845" s="36" t="s">
        <v>520</v>
      </c>
      <c r="D845" s="36"/>
      <c r="E845" s="37">
        <f>SUM(E846,E848)</f>
        <v>11751281</v>
      </c>
      <c r="F845" s="37">
        <f>SUM(F846,F848)</f>
        <v>0</v>
      </c>
      <c r="G845" s="25">
        <f t="shared" si="34"/>
        <v>11751281</v>
      </c>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row>
    <row r="846" spans="1:34" s="3" customFormat="1" ht="30.75">
      <c r="A846" s="35" t="s">
        <v>664</v>
      </c>
      <c r="B846" s="33" t="s">
        <v>517</v>
      </c>
      <c r="C846" s="36" t="s">
        <v>520</v>
      </c>
      <c r="D846" s="33" t="s">
        <v>665</v>
      </c>
      <c r="E846" s="40">
        <f>E847</f>
        <v>109872</v>
      </c>
      <c r="F846" s="40">
        <f>F847</f>
        <v>0</v>
      </c>
      <c r="G846" s="25">
        <f t="shared" si="34"/>
        <v>109872</v>
      </c>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row>
    <row r="847" spans="1:34" s="3" customFormat="1" ht="30.75">
      <c r="A847" s="35" t="s">
        <v>666</v>
      </c>
      <c r="B847" s="33" t="s">
        <v>517</v>
      </c>
      <c r="C847" s="36" t="s">
        <v>520</v>
      </c>
      <c r="D847" s="33" t="s">
        <v>667</v>
      </c>
      <c r="E847" s="40">
        <v>109872</v>
      </c>
      <c r="F847" s="40">
        <v>0</v>
      </c>
      <c r="G847" s="25">
        <f t="shared" si="34"/>
        <v>109872</v>
      </c>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c r="AH847" s="32"/>
    </row>
    <row r="848" spans="1:34" s="3" customFormat="1" ht="15">
      <c r="A848" s="48" t="s">
        <v>115</v>
      </c>
      <c r="B848" s="33" t="s">
        <v>517</v>
      </c>
      <c r="C848" s="36" t="s">
        <v>520</v>
      </c>
      <c r="D848" s="36">
        <v>300</v>
      </c>
      <c r="E848" s="37">
        <f>E849</f>
        <v>11641409</v>
      </c>
      <c r="F848" s="37">
        <f>F849</f>
        <v>0</v>
      </c>
      <c r="G848" s="25">
        <f t="shared" si="34"/>
        <v>11641409</v>
      </c>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c r="AH848" s="32"/>
    </row>
    <row r="849" spans="1:34" s="3" customFormat="1" ht="30.75">
      <c r="A849" s="48" t="s">
        <v>116</v>
      </c>
      <c r="B849" s="33" t="s">
        <v>517</v>
      </c>
      <c r="C849" s="36" t="s">
        <v>520</v>
      </c>
      <c r="D849" s="36">
        <v>320</v>
      </c>
      <c r="E849" s="40">
        <v>11641409</v>
      </c>
      <c r="F849" s="40">
        <v>0</v>
      </c>
      <c r="G849" s="25">
        <f t="shared" si="34"/>
        <v>11641409</v>
      </c>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c r="AH849" s="32"/>
    </row>
    <row r="850" spans="1:34" s="3" customFormat="1" ht="30.75">
      <c r="A850" s="31" t="s">
        <v>147</v>
      </c>
      <c r="B850" s="24" t="s">
        <v>517</v>
      </c>
      <c r="C850" s="26" t="s">
        <v>148</v>
      </c>
      <c r="D850" s="26"/>
      <c r="E850" s="49">
        <f>E851+E880</f>
        <v>433036434.7</v>
      </c>
      <c r="F850" s="49">
        <f>F851+F880</f>
        <v>28442450</v>
      </c>
      <c r="G850" s="25">
        <f t="shared" si="34"/>
        <v>461478884.7</v>
      </c>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c r="AH850" s="32"/>
    </row>
    <row r="851" spans="1:34" s="3" customFormat="1" ht="46.5">
      <c r="A851" s="31" t="s">
        <v>471</v>
      </c>
      <c r="B851" s="24" t="s">
        <v>517</v>
      </c>
      <c r="C851" s="26" t="s">
        <v>472</v>
      </c>
      <c r="D851" s="26"/>
      <c r="E851" s="49">
        <f>SUM(E852,E857,E860,E863,E866,E871,E874,E877)</f>
        <v>416766754</v>
      </c>
      <c r="F851" s="49">
        <f>SUM(F852,F857,F860,F863,F866,F871,F874,F877)</f>
        <v>28442450</v>
      </c>
      <c r="G851" s="25">
        <f t="shared" si="34"/>
        <v>445209204</v>
      </c>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row>
    <row r="852" spans="1:34" s="3" customFormat="1" ht="30.75">
      <c r="A852" s="48" t="s">
        <v>521</v>
      </c>
      <c r="B852" s="33" t="s">
        <v>517</v>
      </c>
      <c r="C852" s="36" t="s">
        <v>522</v>
      </c>
      <c r="D852" s="36"/>
      <c r="E852" s="40">
        <f>E855+E853</f>
        <v>20286004</v>
      </c>
      <c r="F852" s="40">
        <f>F855+F853</f>
        <v>1000000</v>
      </c>
      <c r="G852" s="25">
        <f t="shared" si="34"/>
        <v>21286004</v>
      </c>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c r="AH852" s="32"/>
    </row>
    <row r="853" spans="1:34" s="3" customFormat="1" ht="30.75">
      <c r="A853" s="35" t="s">
        <v>664</v>
      </c>
      <c r="B853" s="33" t="s">
        <v>517</v>
      </c>
      <c r="C853" s="36" t="s">
        <v>522</v>
      </c>
      <c r="D853" s="36">
        <v>200</v>
      </c>
      <c r="E853" s="40">
        <f>E854</f>
        <v>953442</v>
      </c>
      <c r="F853" s="40">
        <f>F854</f>
        <v>100000</v>
      </c>
      <c r="G853" s="25">
        <f t="shared" si="34"/>
        <v>1053442</v>
      </c>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c r="AH853" s="32"/>
    </row>
    <row r="854" spans="1:34" s="3" customFormat="1" ht="30.75">
      <c r="A854" s="48" t="s">
        <v>666</v>
      </c>
      <c r="B854" s="33" t="s">
        <v>517</v>
      </c>
      <c r="C854" s="36" t="s">
        <v>522</v>
      </c>
      <c r="D854" s="36">
        <v>240</v>
      </c>
      <c r="E854" s="40">
        <v>953442</v>
      </c>
      <c r="F854" s="40">
        <v>100000</v>
      </c>
      <c r="G854" s="25">
        <f t="shared" si="34"/>
        <v>1053442</v>
      </c>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row>
    <row r="855" spans="1:34" s="3" customFormat="1" ht="15">
      <c r="A855" s="48" t="s">
        <v>115</v>
      </c>
      <c r="B855" s="33" t="s">
        <v>517</v>
      </c>
      <c r="C855" s="36" t="s">
        <v>522</v>
      </c>
      <c r="D855" s="36">
        <v>300</v>
      </c>
      <c r="E855" s="40">
        <f>E856</f>
        <v>19332562</v>
      </c>
      <c r="F855" s="40">
        <f>F856</f>
        <v>900000</v>
      </c>
      <c r="G855" s="25">
        <f t="shared" si="34"/>
        <v>20232562</v>
      </c>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c r="AH855" s="32"/>
    </row>
    <row r="856" spans="1:34" s="3" customFormat="1" ht="15">
      <c r="A856" s="48" t="s">
        <v>475</v>
      </c>
      <c r="B856" s="33" t="s">
        <v>517</v>
      </c>
      <c r="C856" s="36" t="s">
        <v>522</v>
      </c>
      <c r="D856" s="36">
        <v>310</v>
      </c>
      <c r="E856" s="40">
        <v>19332562</v>
      </c>
      <c r="F856" s="40">
        <v>900000</v>
      </c>
      <c r="G856" s="25">
        <f t="shared" si="34"/>
        <v>20232562</v>
      </c>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row>
    <row r="857" spans="1:34" s="3" customFormat="1" ht="62.25">
      <c r="A857" s="48" t="s">
        <v>523</v>
      </c>
      <c r="B857" s="33" t="s">
        <v>517</v>
      </c>
      <c r="C857" s="36" t="s">
        <v>524</v>
      </c>
      <c r="D857" s="36"/>
      <c r="E857" s="40">
        <f>E858</f>
        <v>788461</v>
      </c>
      <c r="F857" s="40">
        <f>F858</f>
        <v>0</v>
      </c>
      <c r="G857" s="25">
        <f t="shared" si="34"/>
        <v>788461</v>
      </c>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c r="AH857" s="32"/>
    </row>
    <row r="858" spans="1:34" s="3" customFormat="1" ht="15">
      <c r="A858" s="48" t="s">
        <v>115</v>
      </c>
      <c r="B858" s="33" t="s">
        <v>517</v>
      </c>
      <c r="C858" s="36" t="s">
        <v>524</v>
      </c>
      <c r="D858" s="36">
        <v>300</v>
      </c>
      <c r="E858" s="40">
        <f>E859</f>
        <v>788461</v>
      </c>
      <c r="F858" s="40">
        <f>F859</f>
        <v>0</v>
      </c>
      <c r="G858" s="25">
        <f t="shared" si="34"/>
        <v>788461</v>
      </c>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c r="AH858" s="32"/>
    </row>
    <row r="859" spans="1:34" s="3" customFormat="1" ht="15">
      <c r="A859" s="48" t="s">
        <v>475</v>
      </c>
      <c r="B859" s="33" t="s">
        <v>517</v>
      </c>
      <c r="C859" s="36" t="s">
        <v>524</v>
      </c>
      <c r="D859" s="36">
        <v>310</v>
      </c>
      <c r="E859" s="40">
        <v>788461</v>
      </c>
      <c r="F859" s="40">
        <v>0</v>
      </c>
      <c r="G859" s="25">
        <f t="shared" si="34"/>
        <v>788461</v>
      </c>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c r="AH859" s="32"/>
    </row>
    <row r="860" spans="1:34" s="3" customFormat="1" ht="93">
      <c r="A860" s="48" t="s">
        <v>525</v>
      </c>
      <c r="B860" s="33" t="s">
        <v>517</v>
      </c>
      <c r="C860" s="36" t="s">
        <v>526</v>
      </c>
      <c r="D860" s="36"/>
      <c r="E860" s="40">
        <f>E861</f>
        <v>39541972</v>
      </c>
      <c r="F860" s="40">
        <f>F861</f>
        <v>0</v>
      </c>
      <c r="G860" s="25">
        <f t="shared" si="34"/>
        <v>39541972</v>
      </c>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c r="AH860" s="32"/>
    </row>
    <row r="861" spans="1:34" s="3" customFormat="1" ht="15">
      <c r="A861" s="48" t="s">
        <v>115</v>
      </c>
      <c r="B861" s="33" t="s">
        <v>517</v>
      </c>
      <c r="C861" s="36" t="s">
        <v>526</v>
      </c>
      <c r="D861" s="36">
        <v>300</v>
      </c>
      <c r="E861" s="40">
        <f>E862</f>
        <v>39541972</v>
      </c>
      <c r="F861" s="40">
        <f>F862</f>
        <v>0</v>
      </c>
      <c r="G861" s="25">
        <f t="shared" si="34"/>
        <v>39541972</v>
      </c>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c r="AH861" s="32"/>
    </row>
    <row r="862" spans="1:34" s="3" customFormat="1" ht="15">
      <c r="A862" s="48" t="s">
        <v>475</v>
      </c>
      <c r="B862" s="33" t="s">
        <v>517</v>
      </c>
      <c r="C862" s="36" t="s">
        <v>526</v>
      </c>
      <c r="D862" s="36">
        <v>310</v>
      </c>
      <c r="E862" s="40">
        <v>39541972</v>
      </c>
      <c r="F862" s="40">
        <v>0</v>
      </c>
      <c r="G862" s="25">
        <f t="shared" si="34"/>
        <v>39541972</v>
      </c>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c r="AH862" s="32"/>
    </row>
    <row r="863" spans="1:34" s="3" customFormat="1" ht="30.75">
      <c r="A863" s="48" t="s">
        <v>527</v>
      </c>
      <c r="B863" s="33" t="s">
        <v>517</v>
      </c>
      <c r="C863" s="36" t="s">
        <v>528</v>
      </c>
      <c r="D863" s="36"/>
      <c r="E863" s="40">
        <f>E864</f>
        <v>140228550</v>
      </c>
      <c r="F863" s="40">
        <f>F864</f>
        <v>30942450</v>
      </c>
      <c r="G863" s="25">
        <f t="shared" si="34"/>
        <v>171171000</v>
      </c>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c r="AH863" s="32"/>
    </row>
    <row r="864" spans="1:34" s="3" customFormat="1" ht="15">
      <c r="A864" s="48" t="s">
        <v>115</v>
      </c>
      <c r="B864" s="33" t="s">
        <v>517</v>
      </c>
      <c r="C864" s="36" t="s">
        <v>528</v>
      </c>
      <c r="D864" s="36">
        <v>300</v>
      </c>
      <c r="E864" s="40">
        <f>E865</f>
        <v>140228550</v>
      </c>
      <c r="F864" s="40">
        <f>F865</f>
        <v>30942450</v>
      </c>
      <c r="G864" s="25">
        <f t="shared" si="34"/>
        <v>171171000</v>
      </c>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c r="AH864" s="32"/>
    </row>
    <row r="865" spans="1:34" s="3" customFormat="1" ht="15">
      <c r="A865" s="48" t="s">
        <v>475</v>
      </c>
      <c r="B865" s="33" t="s">
        <v>517</v>
      </c>
      <c r="C865" s="36" t="s">
        <v>528</v>
      </c>
      <c r="D865" s="36">
        <v>310</v>
      </c>
      <c r="E865" s="40">
        <v>140228550</v>
      </c>
      <c r="F865" s="40">
        <f>-8600000+39542450</f>
        <v>30942450</v>
      </c>
      <c r="G865" s="25">
        <f t="shared" si="34"/>
        <v>171171000</v>
      </c>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c r="AH865" s="32"/>
    </row>
    <row r="866" spans="1:34" s="3" customFormat="1" ht="62.25">
      <c r="A866" s="48" t="s">
        <v>529</v>
      </c>
      <c r="B866" s="33" t="s">
        <v>517</v>
      </c>
      <c r="C866" s="36" t="s">
        <v>530</v>
      </c>
      <c r="D866" s="36"/>
      <c r="E866" s="40">
        <f>E867+E869</f>
        <v>54280861</v>
      </c>
      <c r="F866" s="40">
        <f>F867+F869</f>
        <v>-1000000</v>
      </c>
      <c r="G866" s="25">
        <f t="shared" si="34"/>
        <v>53280861</v>
      </c>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row>
    <row r="867" spans="1:34" s="3" customFormat="1" ht="30.75">
      <c r="A867" s="35" t="s">
        <v>664</v>
      </c>
      <c r="B867" s="33" t="s">
        <v>517</v>
      </c>
      <c r="C867" s="36" t="s">
        <v>530</v>
      </c>
      <c r="D867" s="36">
        <v>200</v>
      </c>
      <c r="E867" s="40">
        <f>E868</f>
        <v>439675</v>
      </c>
      <c r="F867" s="40">
        <f>F868</f>
        <v>0</v>
      </c>
      <c r="G867" s="25">
        <f t="shared" si="34"/>
        <v>439675</v>
      </c>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c r="AH867" s="32"/>
    </row>
    <row r="868" spans="1:34" s="3" customFormat="1" ht="30.75">
      <c r="A868" s="48" t="s">
        <v>666</v>
      </c>
      <c r="B868" s="33" t="s">
        <v>517</v>
      </c>
      <c r="C868" s="36" t="s">
        <v>530</v>
      </c>
      <c r="D868" s="36">
        <v>240</v>
      </c>
      <c r="E868" s="40">
        <v>439675</v>
      </c>
      <c r="F868" s="40">
        <v>0</v>
      </c>
      <c r="G868" s="25">
        <f t="shared" si="34"/>
        <v>439675</v>
      </c>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c r="AH868" s="32"/>
    </row>
    <row r="869" spans="1:34" s="3" customFormat="1" ht="15">
      <c r="A869" s="48" t="s">
        <v>115</v>
      </c>
      <c r="B869" s="33" t="s">
        <v>517</v>
      </c>
      <c r="C869" s="36" t="s">
        <v>530</v>
      </c>
      <c r="D869" s="36">
        <v>300</v>
      </c>
      <c r="E869" s="40">
        <f>E870</f>
        <v>53841186</v>
      </c>
      <c r="F869" s="40">
        <f>F870</f>
        <v>-1000000</v>
      </c>
      <c r="G869" s="25">
        <f t="shared" si="34"/>
        <v>52841186</v>
      </c>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c r="AH869" s="32"/>
    </row>
    <row r="870" spans="1:34" s="3" customFormat="1" ht="15">
      <c r="A870" s="48" t="s">
        <v>475</v>
      </c>
      <c r="B870" s="33" t="s">
        <v>517</v>
      </c>
      <c r="C870" s="36" t="s">
        <v>530</v>
      </c>
      <c r="D870" s="36">
        <v>310</v>
      </c>
      <c r="E870" s="40">
        <v>53841186</v>
      </c>
      <c r="F870" s="40">
        <v>-1000000</v>
      </c>
      <c r="G870" s="25">
        <f t="shared" si="34"/>
        <v>52841186</v>
      </c>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row>
    <row r="871" spans="1:34" s="3" customFormat="1" ht="78">
      <c r="A871" s="48" t="s">
        <v>531</v>
      </c>
      <c r="B871" s="33" t="s">
        <v>517</v>
      </c>
      <c r="C871" s="36" t="s">
        <v>532</v>
      </c>
      <c r="D871" s="36"/>
      <c r="E871" s="40">
        <f>E872</f>
        <v>85453830</v>
      </c>
      <c r="F871" s="40">
        <f>F872</f>
        <v>0</v>
      </c>
      <c r="G871" s="25">
        <f t="shared" si="34"/>
        <v>85453830</v>
      </c>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c r="AH871" s="32"/>
    </row>
    <row r="872" spans="1:34" s="3" customFormat="1" ht="15">
      <c r="A872" s="48" t="s">
        <v>115</v>
      </c>
      <c r="B872" s="33" t="s">
        <v>517</v>
      </c>
      <c r="C872" s="36" t="s">
        <v>532</v>
      </c>
      <c r="D872" s="36">
        <v>300</v>
      </c>
      <c r="E872" s="40">
        <f>E873</f>
        <v>85453830</v>
      </c>
      <c r="F872" s="40">
        <f>F873</f>
        <v>0</v>
      </c>
      <c r="G872" s="25">
        <f t="shared" si="34"/>
        <v>85453830</v>
      </c>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c r="AH872" s="32"/>
    </row>
    <row r="873" spans="1:34" s="3" customFormat="1" ht="15">
      <c r="A873" s="48" t="s">
        <v>475</v>
      </c>
      <c r="B873" s="33" t="s">
        <v>517</v>
      </c>
      <c r="C873" s="36" t="s">
        <v>532</v>
      </c>
      <c r="D873" s="36">
        <v>310</v>
      </c>
      <c r="E873" s="40">
        <v>85453830</v>
      </c>
      <c r="F873" s="40">
        <v>0</v>
      </c>
      <c r="G873" s="25">
        <f t="shared" si="34"/>
        <v>85453830</v>
      </c>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c r="AH873" s="32"/>
    </row>
    <row r="874" spans="1:34" s="3" customFormat="1" ht="62.25">
      <c r="A874" s="48" t="s">
        <v>533</v>
      </c>
      <c r="B874" s="33" t="s">
        <v>517</v>
      </c>
      <c r="C874" s="36" t="s">
        <v>534</v>
      </c>
      <c r="D874" s="36"/>
      <c r="E874" s="40">
        <f>E875</f>
        <v>73834308</v>
      </c>
      <c r="F874" s="40">
        <f>F875</f>
        <v>-2500000</v>
      </c>
      <c r="G874" s="25">
        <f t="shared" si="34"/>
        <v>71334308</v>
      </c>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c r="AH874" s="32"/>
    </row>
    <row r="875" spans="1:34" s="3" customFormat="1" ht="15">
      <c r="A875" s="48" t="s">
        <v>115</v>
      </c>
      <c r="B875" s="33" t="s">
        <v>517</v>
      </c>
      <c r="C875" s="36" t="s">
        <v>534</v>
      </c>
      <c r="D875" s="36">
        <v>300</v>
      </c>
      <c r="E875" s="40">
        <f>E876</f>
        <v>73834308</v>
      </c>
      <c r="F875" s="40">
        <f>F876</f>
        <v>-2500000</v>
      </c>
      <c r="G875" s="25">
        <f t="shared" si="34"/>
        <v>71334308</v>
      </c>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c r="AH875" s="32"/>
    </row>
    <row r="876" spans="1:34" s="3" customFormat="1" ht="15">
      <c r="A876" s="48" t="s">
        <v>475</v>
      </c>
      <c r="B876" s="33" t="s">
        <v>517</v>
      </c>
      <c r="C876" s="36" t="s">
        <v>534</v>
      </c>
      <c r="D876" s="36">
        <v>310</v>
      </c>
      <c r="E876" s="40">
        <v>73834308</v>
      </c>
      <c r="F876" s="40">
        <v>-2500000</v>
      </c>
      <c r="G876" s="25">
        <f t="shared" si="34"/>
        <v>71334308</v>
      </c>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row>
    <row r="877" spans="1:34" s="3" customFormat="1" ht="95.25" customHeight="1">
      <c r="A877" s="80" t="s">
        <v>535</v>
      </c>
      <c r="B877" s="33" t="s">
        <v>517</v>
      </c>
      <c r="C877" s="36" t="s">
        <v>536</v>
      </c>
      <c r="D877" s="36"/>
      <c r="E877" s="40">
        <f>E878</f>
        <v>2352768</v>
      </c>
      <c r="F877" s="40">
        <f>F878</f>
        <v>0</v>
      </c>
      <c r="G877" s="25">
        <f t="shared" si="34"/>
        <v>2352768</v>
      </c>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c r="AH877" s="32"/>
    </row>
    <row r="878" spans="1:34" s="3" customFormat="1" ht="15">
      <c r="A878" s="48" t="s">
        <v>115</v>
      </c>
      <c r="B878" s="33" t="s">
        <v>517</v>
      </c>
      <c r="C878" s="36" t="s">
        <v>536</v>
      </c>
      <c r="D878" s="36">
        <v>300</v>
      </c>
      <c r="E878" s="40">
        <f>E879</f>
        <v>2352768</v>
      </c>
      <c r="F878" s="40">
        <f>F879</f>
        <v>0</v>
      </c>
      <c r="G878" s="25">
        <f t="shared" si="34"/>
        <v>2352768</v>
      </c>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row>
    <row r="879" spans="1:34" s="3" customFormat="1" ht="15">
      <c r="A879" s="48" t="s">
        <v>475</v>
      </c>
      <c r="B879" s="33" t="s">
        <v>517</v>
      </c>
      <c r="C879" s="36" t="s">
        <v>536</v>
      </c>
      <c r="D879" s="36">
        <v>310</v>
      </c>
      <c r="E879" s="40">
        <v>2352768</v>
      </c>
      <c r="F879" s="40">
        <v>0</v>
      </c>
      <c r="G879" s="25">
        <f t="shared" si="34"/>
        <v>2352768</v>
      </c>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c r="AH879" s="32"/>
    </row>
    <row r="880" spans="1:34" s="3" customFormat="1" ht="15">
      <c r="A880" s="48" t="s">
        <v>537</v>
      </c>
      <c r="B880" s="33" t="s">
        <v>517</v>
      </c>
      <c r="C880" s="36" t="s">
        <v>538</v>
      </c>
      <c r="D880" s="36"/>
      <c r="E880" s="40">
        <f aca="true" t="shared" si="35" ref="E880:F882">E881</f>
        <v>16269680.7</v>
      </c>
      <c r="F880" s="40">
        <f t="shared" si="35"/>
        <v>0</v>
      </c>
      <c r="G880" s="25">
        <f t="shared" si="34"/>
        <v>16269680.7</v>
      </c>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c r="AH880" s="32"/>
    </row>
    <row r="881" spans="1:34" s="3" customFormat="1" ht="30.75">
      <c r="A881" s="48" t="s">
        <v>539</v>
      </c>
      <c r="B881" s="33" t="s">
        <v>517</v>
      </c>
      <c r="C881" s="36" t="s">
        <v>540</v>
      </c>
      <c r="D881" s="36"/>
      <c r="E881" s="40">
        <f t="shared" si="35"/>
        <v>16269680.7</v>
      </c>
      <c r="F881" s="40">
        <f t="shared" si="35"/>
        <v>0</v>
      </c>
      <c r="G881" s="25">
        <f aca="true" t="shared" si="36" ref="G881:G954">SUM(E881:F881)</f>
        <v>16269680.7</v>
      </c>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c r="AH881" s="32"/>
    </row>
    <row r="882" spans="1:34" s="3" customFormat="1" ht="15">
      <c r="A882" s="48" t="s">
        <v>115</v>
      </c>
      <c r="B882" s="33" t="s">
        <v>517</v>
      </c>
      <c r="C882" s="36" t="s">
        <v>540</v>
      </c>
      <c r="D882" s="36">
        <v>300</v>
      </c>
      <c r="E882" s="40">
        <f t="shared" si="35"/>
        <v>16269680.7</v>
      </c>
      <c r="F882" s="40">
        <f t="shared" si="35"/>
        <v>0</v>
      </c>
      <c r="G882" s="25">
        <f t="shared" si="36"/>
        <v>16269680.7</v>
      </c>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c r="AH882" s="32"/>
    </row>
    <row r="883" spans="1:34" s="3" customFormat="1" ht="30.75">
      <c r="A883" s="48" t="s">
        <v>116</v>
      </c>
      <c r="B883" s="33" t="s">
        <v>517</v>
      </c>
      <c r="C883" s="36" t="s">
        <v>540</v>
      </c>
      <c r="D883" s="36">
        <v>320</v>
      </c>
      <c r="E883" s="40">
        <v>16269680.7</v>
      </c>
      <c r="F883" s="40">
        <v>0</v>
      </c>
      <c r="G883" s="25">
        <f t="shared" si="36"/>
        <v>16269680.7</v>
      </c>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c r="AH883" s="32"/>
    </row>
    <row r="884" spans="1:34" s="3" customFormat="1" ht="15.75">
      <c r="A884" s="20" t="s">
        <v>541</v>
      </c>
      <c r="B884" s="21" t="s">
        <v>542</v>
      </c>
      <c r="C884" s="46"/>
      <c r="D884" s="46"/>
      <c r="E884" s="47">
        <f>SUM(E885,E904,E937,E898)</f>
        <v>79372498.25</v>
      </c>
      <c r="F884" s="47">
        <f>SUM(F885,F904,F937,F898)</f>
        <v>2126715</v>
      </c>
      <c r="G884" s="22">
        <f t="shared" si="36"/>
        <v>81499213.25</v>
      </c>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c r="AH884" s="32"/>
    </row>
    <row r="885" spans="1:34" s="3" customFormat="1" ht="30.75">
      <c r="A885" s="31" t="s">
        <v>324</v>
      </c>
      <c r="B885" s="24" t="s">
        <v>542</v>
      </c>
      <c r="C885" s="26" t="s">
        <v>325</v>
      </c>
      <c r="D885" s="26"/>
      <c r="E885" s="27">
        <f>SUM(E886,E892)</f>
        <v>5000000</v>
      </c>
      <c r="F885" s="27">
        <f>SUM(F886,F892)</f>
        <v>0</v>
      </c>
      <c r="G885" s="25">
        <f t="shared" si="36"/>
        <v>5000000</v>
      </c>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c r="AH885" s="32"/>
    </row>
    <row r="886" spans="1:34" s="3" customFormat="1" ht="30.75">
      <c r="A886" s="61" t="s">
        <v>326</v>
      </c>
      <c r="B886" s="24" t="s">
        <v>542</v>
      </c>
      <c r="C886" s="26" t="s">
        <v>327</v>
      </c>
      <c r="D886" s="26"/>
      <c r="E886" s="27">
        <f>E887</f>
        <v>2000000</v>
      </c>
      <c r="F886" s="27">
        <f>F887</f>
        <v>0</v>
      </c>
      <c r="G886" s="25">
        <f t="shared" si="36"/>
        <v>2000000</v>
      </c>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row>
    <row r="887" spans="1:34" s="3" customFormat="1" ht="30.75">
      <c r="A887" s="61" t="s">
        <v>543</v>
      </c>
      <c r="B887" s="24" t="s">
        <v>542</v>
      </c>
      <c r="C887" s="26" t="s">
        <v>544</v>
      </c>
      <c r="D887" s="26"/>
      <c r="E887" s="27">
        <f>E890+E888</f>
        <v>2000000</v>
      </c>
      <c r="F887" s="27">
        <f>F890+F888</f>
        <v>0</v>
      </c>
      <c r="G887" s="25">
        <f t="shared" si="36"/>
        <v>2000000</v>
      </c>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row>
    <row r="888" spans="1:34" s="3" customFormat="1" ht="30.75">
      <c r="A888" s="28" t="s">
        <v>664</v>
      </c>
      <c r="B888" s="24" t="s">
        <v>542</v>
      </c>
      <c r="C888" s="26" t="s">
        <v>544</v>
      </c>
      <c r="D888" s="26">
        <v>200</v>
      </c>
      <c r="E888" s="27">
        <f>E889</f>
        <v>20000</v>
      </c>
      <c r="F888" s="27">
        <f>F889</f>
        <v>0</v>
      </c>
      <c r="G888" s="25">
        <f t="shared" si="36"/>
        <v>20000</v>
      </c>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row>
    <row r="889" spans="1:34" s="3" customFormat="1" ht="30.75">
      <c r="A889" s="28" t="s">
        <v>666</v>
      </c>
      <c r="B889" s="24" t="s">
        <v>542</v>
      </c>
      <c r="C889" s="26" t="s">
        <v>544</v>
      </c>
      <c r="D889" s="26">
        <v>240</v>
      </c>
      <c r="E889" s="27">
        <v>20000</v>
      </c>
      <c r="F889" s="27">
        <v>0</v>
      </c>
      <c r="G889" s="25">
        <f t="shared" si="36"/>
        <v>20000</v>
      </c>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c r="AH889" s="32"/>
    </row>
    <row r="890" spans="1:34" s="3" customFormat="1" ht="15">
      <c r="A890" s="31" t="s">
        <v>115</v>
      </c>
      <c r="B890" s="24" t="s">
        <v>542</v>
      </c>
      <c r="C890" s="26" t="s">
        <v>544</v>
      </c>
      <c r="D890" s="26">
        <v>300</v>
      </c>
      <c r="E890" s="27">
        <f>E891</f>
        <v>1980000</v>
      </c>
      <c r="F890" s="27">
        <f>F891</f>
        <v>0</v>
      </c>
      <c r="G890" s="25">
        <f t="shared" si="36"/>
        <v>1980000</v>
      </c>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c r="AH890" s="32"/>
    </row>
    <row r="891" spans="1:34" s="3" customFormat="1" ht="15">
      <c r="A891" s="31" t="s">
        <v>475</v>
      </c>
      <c r="B891" s="24" t="s">
        <v>542</v>
      </c>
      <c r="C891" s="26" t="s">
        <v>544</v>
      </c>
      <c r="D891" s="26">
        <v>310</v>
      </c>
      <c r="E891" s="27">
        <v>1980000</v>
      </c>
      <c r="F891" s="27">
        <v>0</v>
      </c>
      <c r="G891" s="25">
        <f t="shared" si="36"/>
        <v>1980000</v>
      </c>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c r="AH891" s="32"/>
    </row>
    <row r="892" spans="1:34" s="3" customFormat="1" ht="30.75">
      <c r="A892" s="61" t="s">
        <v>342</v>
      </c>
      <c r="B892" s="24" t="s">
        <v>542</v>
      </c>
      <c r="C892" s="26" t="s">
        <v>343</v>
      </c>
      <c r="D892" s="26"/>
      <c r="E892" s="27">
        <f>E893</f>
        <v>3000000</v>
      </c>
      <c r="F892" s="27">
        <f>F893</f>
        <v>0</v>
      </c>
      <c r="G892" s="25">
        <f t="shared" si="36"/>
        <v>3000000</v>
      </c>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c r="AH892" s="32"/>
    </row>
    <row r="893" spans="1:34" s="3" customFormat="1" ht="30.75">
      <c r="A893" s="61" t="s">
        <v>545</v>
      </c>
      <c r="B893" s="24" t="s">
        <v>542</v>
      </c>
      <c r="C893" s="26" t="s">
        <v>546</v>
      </c>
      <c r="D893" s="26"/>
      <c r="E893" s="27">
        <f>E896+E894</f>
        <v>3000000</v>
      </c>
      <c r="F893" s="27">
        <f>F896+F894</f>
        <v>0</v>
      </c>
      <c r="G893" s="25">
        <f t="shared" si="36"/>
        <v>3000000</v>
      </c>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c r="AH893" s="32"/>
    </row>
    <row r="894" spans="1:34" s="3" customFormat="1" ht="30.75">
      <c r="A894" s="28" t="s">
        <v>664</v>
      </c>
      <c r="B894" s="24" t="s">
        <v>542</v>
      </c>
      <c r="C894" s="26" t="s">
        <v>546</v>
      </c>
      <c r="D894" s="26">
        <v>200</v>
      </c>
      <c r="E894" s="27">
        <f>E895</f>
        <v>30000</v>
      </c>
      <c r="F894" s="27">
        <f>F895</f>
        <v>0</v>
      </c>
      <c r="G894" s="25">
        <f t="shared" si="36"/>
        <v>30000</v>
      </c>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row>
    <row r="895" spans="1:34" s="3" customFormat="1" ht="30.75">
      <c r="A895" s="28" t="s">
        <v>666</v>
      </c>
      <c r="B895" s="24" t="s">
        <v>542</v>
      </c>
      <c r="C895" s="26" t="s">
        <v>546</v>
      </c>
      <c r="D895" s="26">
        <v>240</v>
      </c>
      <c r="E895" s="27">
        <v>30000</v>
      </c>
      <c r="F895" s="27">
        <v>0</v>
      </c>
      <c r="G895" s="25">
        <f t="shared" si="36"/>
        <v>30000</v>
      </c>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c r="AH895" s="32"/>
    </row>
    <row r="896" spans="1:34" s="3" customFormat="1" ht="15">
      <c r="A896" s="31" t="s">
        <v>115</v>
      </c>
      <c r="B896" s="24" t="s">
        <v>542</v>
      </c>
      <c r="C896" s="26" t="s">
        <v>546</v>
      </c>
      <c r="D896" s="26">
        <v>300</v>
      </c>
      <c r="E896" s="27">
        <f>E897</f>
        <v>2970000</v>
      </c>
      <c r="F896" s="27">
        <f>F897</f>
        <v>0</v>
      </c>
      <c r="G896" s="25">
        <f t="shared" si="36"/>
        <v>2970000</v>
      </c>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row>
    <row r="897" spans="1:34" s="3" customFormat="1" ht="15">
      <c r="A897" s="31" t="s">
        <v>475</v>
      </c>
      <c r="B897" s="24" t="s">
        <v>542</v>
      </c>
      <c r="C897" s="26" t="s">
        <v>546</v>
      </c>
      <c r="D897" s="26">
        <v>310</v>
      </c>
      <c r="E897" s="27">
        <v>2970000</v>
      </c>
      <c r="F897" s="27">
        <v>0</v>
      </c>
      <c r="G897" s="25">
        <f t="shared" si="36"/>
        <v>2970000</v>
      </c>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c r="AH897" s="32"/>
    </row>
    <row r="898" spans="1:34" s="3" customFormat="1" ht="31.5" customHeight="1">
      <c r="A898" s="31" t="s">
        <v>621</v>
      </c>
      <c r="B898" s="24" t="s">
        <v>542</v>
      </c>
      <c r="C898" s="26" t="s">
        <v>568</v>
      </c>
      <c r="D898" s="26"/>
      <c r="E898" s="27">
        <f>E899</f>
        <v>0</v>
      </c>
      <c r="F898" s="27">
        <f>F899</f>
        <v>97000</v>
      </c>
      <c r="G898" s="25">
        <f t="shared" si="36"/>
        <v>97000</v>
      </c>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c r="AG898" s="32"/>
      <c r="AH898" s="32"/>
    </row>
    <row r="899" spans="1:34" s="3" customFormat="1" ht="48.75" customHeight="1">
      <c r="A899" s="31" t="s">
        <v>620</v>
      </c>
      <c r="B899" s="24" t="s">
        <v>542</v>
      </c>
      <c r="C899" s="26" t="s">
        <v>619</v>
      </c>
      <c r="D899" s="26"/>
      <c r="E899" s="27">
        <f>E900+E902</f>
        <v>0</v>
      </c>
      <c r="F899" s="27">
        <f>F900+F902</f>
        <v>97000</v>
      </c>
      <c r="G899" s="25">
        <f t="shared" si="36"/>
        <v>97000</v>
      </c>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c r="AG899" s="32"/>
      <c r="AH899" s="32"/>
    </row>
    <row r="900" spans="1:34" s="3" customFormat="1" ht="30.75">
      <c r="A900" s="28" t="s">
        <v>664</v>
      </c>
      <c r="B900" s="24" t="s">
        <v>542</v>
      </c>
      <c r="C900" s="26" t="s">
        <v>619</v>
      </c>
      <c r="D900" s="26">
        <v>200</v>
      </c>
      <c r="E900" s="27">
        <f>E901</f>
        <v>0</v>
      </c>
      <c r="F900" s="27">
        <f>F901</f>
        <v>970</v>
      </c>
      <c r="G900" s="25">
        <f t="shared" si="36"/>
        <v>970</v>
      </c>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c r="AG900" s="32"/>
      <c r="AH900" s="32"/>
    </row>
    <row r="901" spans="1:34" s="3" customFormat="1" ht="30.75">
      <c r="A901" s="28" t="s">
        <v>666</v>
      </c>
      <c r="B901" s="24" t="s">
        <v>542</v>
      </c>
      <c r="C901" s="26" t="s">
        <v>619</v>
      </c>
      <c r="D901" s="26">
        <v>240</v>
      </c>
      <c r="E901" s="27">
        <v>0</v>
      </c>
      <c r="F901" s="27">
        <v>970</v>
      </c>
      <c r="G901" s="25">
        <f t="shared" si="36"/>
        <v>970</v>
      </c>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c r="AH901" s="32"/>
    </row>
    <row r="902" spans="1:34" s="3" customFormat="1" ht="15">
      <c r="A902" s="31" t="s">
        <v>115</v>
      </c>
      <c r="B902" s="24" t="s">
        <v>542</v>
      </c>
      <c r="C902" s="26" t="s">
        <v>619</v>
      </c>
      <c r="D902" s="26">
        <v>300</v>
      </c>
      <c r="E902" s="27">
        <f>E903</f>
        <v>0</v>
      </c>
      <c r="F902" s="27">
        <f>F903</f>
        <v>96030</v>
      </c>
      <c r="G902" s="25">
        <f t="shared" si="36"/>
        <v>96030</v>
      </c>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c r="AH902" s="32"/>
    </row>
    <row r="903" spans="1:34" s="3" customFormat="1" ht="15">
      <c r="A903" s="31" t="s">
        <v>475</v>
      </c>
      <c r="B903" s="24" t="s">
        <v>542</v>
      </c>
      <c r="C903" s="26" t="s">
        <v>619</v>
      </c>
      <c r="D903" s="26">
        <v>310</v>
      </c>
      <c r="E903" s="27">
        <v>0</v>
      </c>
      <c r="F903" s="27">
        <v>96030</v>
      </c>
      <c r="G903" s="25">
        <f t="shared" si="36"/>
        <v>96030</v>
      </c>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c r="AG903" s="32"/>
      <c r="AH903" s="32"/>
    </row>
    <row r="904" spans="1:34" s="3" customFormat="1" ht="30.75">
      <c r="A904" s="31" t="s">
        <v>147</v>
      </c>
      <c r="B904" s="24" t="s">
        <v>542</v>
      </c>
      <c r="C904" s="26" t="s">
        <v>148</v>
      </c>
      <c r="D904" s="26"/>
      <c r="E904" s="27">
        <f>SUM(E905,E924)</f>
        <v>71372498.25</v>
      </c>
      <c r="F904" s="27">
        <f>SUM(F905,F924)</f>
        <v>1120715</v>
      </c>
      <c r="G904" s="25">
        <f t="shared" si="36"/>
        <v>72493213.25</v>
      </c>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c r="AH904" s="32"/>
    </row>
    <row r="905" spans="1:34" s="3" customFormat="1" ht="46.5">
      <c r="A905" s="31" t="s">
        <v>471</v>
      </c>
      <c r="B905" s="24" t="s">
        <v>542</v>
      </c>
      <c r="C905" s="26" t="s">
        <v>472</v>
      </c>
      <c r="D905" s="26"/>
      <c r="E905" s="27">
        <f>SUM(E906,E911,E916,E919)</f>
        <v>37193252</v>
      </c>
      <c r="F905" s="27">
        <f>SUM(F906,F911,F916,F919)</f>
        <v>0</v>
      </c>
      <c r="G905" s="25">
        <f t="shared" si="36"/>
        <v>37193252</v>
      </c>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c r="AH905" s="32"/>
    </row>
    <row r="906" spans="1:34" s="3" customFormat="1" ht="46.5">
      <c r="A906" s="48" t="s">
        <v>547</v>
      </c>
      <c r="B906" s="33" t="s">
        <v>542</v>
      </c>
      <c r="C906" s="36" t="s">
        <v>548</v>
      </c>
      <c r="D906" s="36"/>
      <c r="E906" s="40">
        <f>E909+E907</f>
        <v>599149</v>
      </c>
      <c r="F906" s="40">
        <f>F909+F907</f>
        <v>0</v>
      </c>
      <c r="G906" s="25">
        <f t="shared" si="36"/>
        <v>599149</v>
      </c>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row>
    <row r="907" spans="1:34" s="3" customFormat="1" ht="30.75">
      <c r="A907" s="35" t="s">
        <v>664</v>
      </c>
      <c r="B907" s="33" t="s">
        <v>542</v>
      </c>
      <c r="C907" s="36" t="s">
        <v>548</v>
      </c>
      <c r="D907" s="36">
        <v>200</v>
      </c>
      <c r="E907" s="40">
        <f>E908</f>
        <v>5990</v>
      </c>
      <c r="F907" s="40">
        <f>F908</f>
        <v>0</v>
      </c>
      <c r="G907" s="25">
        <f t="shared" si="36"/>
        <v>5990</v>
      </c>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c r="AG907" s="32"/>
      <c r="AH907" s="32"/>
    </row>
    <row r="908" spans="1:34" s="3" customFormat="1" ht="30.75">
      <c r="A908" s="48" t="s">
        <v>666</v>
      </c>
      <c r="B908" s="33" t="s">
        <v>542</v>
      </c>
      <c r="C908" s="36" t="s">
        <v>548</v>
      </c>
      <c r="D908" s="36">
        <v>240</v>
      </c>
      <c r="E908" s="40">
        <v>5990</v>
      </c>
      <c r="F908" s="40">
        <v>0</v>
      </c>
      <c r="G908" s="25">
        <f t="shared" si="36"/>
        <v>5990</v>
      </c>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c r="AG908" s="32"/>
      <c r="AH908" s="32"/>
    </row>
    <row r="909" spans="1:34" s="3" customFormat="1" ht="15">
      <c r="A909" s="48" t="s">
        <v>115</v>
      </c>
      <c r="B909" s="33" t="s">
        <v>542</v>
      </c>
      <c r="C909" s="36" t="s">
        <v>548</v>
      </c>
      <c r="D909" s="36">
        <v>300</v>
      </c>
      <c r="E909" s="40">
        <f>E910</f>
        <v>593159</v>
      </c>
      <c r="F909" s="40">
        <f>F910</f>
        <v>0</v>
      </c>
      <c r="G909" s="25">
        <f t="shared" si="36"/>
        <v>593159</v>
      </c>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c r="AG909" s="32"/>
      <c r="AH909" s="32"/>
    </row>
    <row r="910" spans="1:34" s="3" customFormat="1" ht="15">
      <c r="A910" s="48" t="s">
        <v>475</v>
      </c>
      <c r="B910" s="33" t="s">
        <v>542</v>
      </c>
      <c r="C910" s="36" t="s">
        <v>548</v>
      </c>
      <c r="D910" s="36">
        <v>310</v>
      </c>
      <c r="E910" s="40">
        <v>593159</v>
      </c>
      <c r="F910" s="40">
        <v>0</v>
      </c>
      <c r="G910" s="25">
        <f t="shared" si="36"/>
        <v>593159</v>
      </c>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c r="AH910" s="32"/>
    </row>
    <row r="911" spans="1:34" s="3" customFormat="1" ht="46.5">
      <c r="A911" s="31" t="s">
        <v>549</v>
      </c>
      <c r="B911" s="24" t="s">
        <v>542</v>
      </c>
      <c r="C911" s="26" t="s">
        <v>550</v>
      </c>
      <c r="D911" s="26"/>
      <c r="E911" s="49">
        <f>E914+E912</f>
        <v>3000000</v>
      </c>
      <c r="F911" s="49">
        <f>F914+F912</f>
        <v>0</v>
      </c>
      <c r="G911" s="25">
        <f t="shared" si="36"/>
        <v>3000000</v>
      </c>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c r="AH911" s="32"/>
    </row>
    <row r="912" spans="1:34" s="3" customFormat="1" ht="30.75">
      <c r="A912" s="28" t="s">
        <v>664</v>
      </c>
      <c r="B912" s="24" t="s">
        <v>542</v>
      </c>
      <c r="C912" s="26" t="s">
        <v>550</v>
      </c>
      <c r="D912" s="26">
        <v>200</v>
      </c>
      <c r="E912" s="27">
        <f>E913</f>
        <v>29703</v>
      </c>
      <c r="F912" s="27">
        <f>F913</f>
        <v>0</v>
      </c>
      <c r="G912" s="25">
        <f t="shared" si="36"/>
        <v>29703</v>
      </c>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c r="AH912" s="32"/>
    </row>
    <row r="913" spans="1:34" s="3" customFormat="1" ht="30.75">
      <c r="A913" s="31" t="s">
        <v>666</v>
      </c>
      <c r="B913" s="24" t="s">
        <v>542</v>
      </c>
      <c r="C913" s="26" t="s">
        <v>550</v>
      </c>
      <c r="D913" s="26">
        <v>240</v>
      </c>
      <c r="E913" s="27">
        <v>29703</v>
      </c>
      <c r="F913" s="27">
        <v>0</v>
      </c>
      <c r="G913" s="25">
        <f t="shared" si="36"/>
        <v>29703</v>
      </c>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c r="AH913" s="32"/>
    </row>
    <row r="914" spans="1:34" s="3" customFormat="1" ht="15">
      <c r="A914" s="31" t="s">
        <v>115</v>
      </c>
      <c r="B914" s="24" t="s">
        <v>542</v>
      </c>
      <c r="C914" s="26" t="s">
        <v>550</v>
      </c>
      <c r="D914" s="26">
        <v>300</v>
      </c>
      <c r="E914" s="27">
        <f>E915</f>
        <v>2970297</v>
      </c>
      <c r="F914" s="27">
        <f>F915</f>
        <v>0</v>
      </c>
      <c r="G914" s="25">
        <f t="shared" si="36"/>
        <v>2970297</v>
      </c>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c r="AH914" s="32"/>
    </row>
    <row r="915" spans="1:34" s="3" customFormat="1" ht="15">
      <c r="A915" s="31" t="s">
        <v>475</v>
      </c>
      <c r="B915" s="24" t="s">
        <v>542</v>
      </c>
      <c r="C915" s="26" t="s">
        <v>550</v>
      </c>
      <c r="D915" s="26">
        <v>310</v>
      </c>
      <c r="E915" s="27">
        <v>2970297</v>
      </c>
      <c r="F915" s="27">
        <v>0</v>
      </c>
      <c r="G915" s="25">
        <f t="shared" si="36"/>
        <v>2970297</v>
      </c>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c r="AG915" s="32"/>
      <c r="AH915" s="32"/>
    </row>
    <row r="916" spans="1:34" s="3" customFormat="1" ht="18" customHeight="1">
      <c r="A916" s="31" t="s">
        <v>551</v>
      </c>
      <c r="B916" s="24" t="s">
        <v>542</v>
      </c>
      <c r="C916" s="26" t="s">
        <v>552</v>
      </c>
      <c r="D916" s="26"/>
      <c r="E916" s="27">
        <f>E917</f>
        <v>1200000</v>
      </c>
      <c r="F916" s="27">
        <f>F917</f>
        <v>0</v>
      </c>
      <c r="G916" s="25">
        <f t="shared" si="36"/>
        <v>1200000</v>
      </c>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row>
    <row r="917" spans="1:34" s="3" customFormat="1" ht="30.75">
      <c r="A917" s="28" t="s">
        <v>664</v>
      </c>
      <c r="B917" s="24" t="s">
        <v>542</v>
      </c>
      <c r="C917" s="26" t="s">
        <v>552</v>
      </c>
      <c r="D917" s="26">
        <v>200</v>
      </c>
      <c r="E917" s="27">
        <f>E918</f>
        <v>1200000</v>
      </c>
      <c r="F917" s="27">
        <f>F918</f>
        <v>0</v>
      </c>
      <c r="G917" s="25">
        <f t="shared" si="36"/>
        <v>1200000</v>
      </c>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c r="AG917" s="32"/>
      <c r="AH917" s="32"/>
    </row>
    <row r="918" spans="1:34" s="3" customFormat="1" ht="30.75">
      <c r="A918" s="28" t="s">
        <v>666</v>
      </c>
      <c r="B918" s="24" t="s">
        <v>542</v>
      </c>
      <c r="C918" s="26" t="s">
        <v>552</v>
      </c>
      <c r="D918" s="26">
        <v>240</v>
      </c>
      <c r="E918" s="49">
        <v>1200000</v>
      </c>
      <c r="F918" s="49">
        <v>0</v>
      </c>
      <c r="G918" s="25">
        <f t="shared" si="36"/>
        <v>1200000</v>
      </c>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c r="AH918" s="32"/>
    </row>
    <row r="919" spans="1:34" s="3" customFormat="1" ht="30.75">
      <c r="A919" s="48" t="s">
        <v>553</v>
      </c>
      <c r="B919" s="33" t="s">
        <v>542</v>
      </c>
      <c r="C919" s="36" t="s">
        <v>554</v>
      </c>
      <c r="D919" s="36"/>
      <c r="E919" s="40">
        <f>E922+E920</f>
        <v>32394103</v>
      </c>
      <c r="F919" s="40">
        <f>F922+F920</f>
        <v>0</v>
      </c>
      <c r="G919" s="25">
        <f t="shared" si="36"/>
        <v>32394103</v>
      </c>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c r="AH919" s="32"/>
    </row>
    <row r="920" spans="1:34" s="3" customFormat="1" ht="30.75">
      <c r="A920" s="35" t="s">
        <v>664</v>
      </c>
      <c r="B920" s="33" t="s">
        <v>542</v>
      </c>
      <c r="C920" s="36" t="s">
        <v>554</v>
      </c>
      <c r="D920" s="36">
        <v>200</v>
      </c>
      <c r="E920" s="40">
        <f>E921</f>
        <v>320702</v>
      </c>
      <c r="F920" s="40">
        <f>F921</f>
        <v>0</v>
      </c>
      <c r="G920" s="25">
        <f t="shared" si="36"/>
        <v>320702</v>
      </c>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c r="AH920" s="32"/>
    </row>
    <row r="921" spans="1:34" s="3" customFormat="1" ht="30.75">
      <c r="A921" s="48" t="s">
        <v>666</v>
      </c>
      <c r="B921" s="33" t="s">
        <v>542</v>
      </c>
      <c r="C921" s="36" t="s">
        <v>554</v>
      </c>
      <c r="D921" s="36">
        <v>240</v>
      </c>
      <c r="E921" s="40">
        <v>320702</v>
      </c>
      <c r="F921" s="40">
        <v>0</v>
      </c>
      <c r="G921" s="25">
        <f t="shared" si="36"/>
        <v>320702</v>
      </c>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c r="AH921" s="32"/>
    </row>
    <row r="922" spans="1:34" s="3" customFormat="1" ht="15">
      <c r="A922" s="48" t="s">
        <v>115</v>
      </c>
      <c r="B922" s="33" t="s">
        <v>542</v>
      </c>
      <c r="C922" s="36" t="s">
        <v>554</v>
      </c>
      <c r="D922" s="36">
        <v>300</v>
      </c>
      <c r="E922" s="40">
        <f>E923</f>
        <v>32073401</v>
      </c>
      <c r="F922" s="40">
        <f>F923</f>
        <v>0</v>
      </c>
      <c r="G922" s="25">
        <f t="shared" si="36"/>
        <v>32073401</v>
      </c>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c r="AH922" s="32"/>
    </row>
    <row r="923" spans="1:34" s="3" customFormat="1" ht="15">
      <c r="A923" s="48" t="s">
        <v>475</v>
      </c>
      <c r="B923" s="33" t="s">
        <v>542</v>
      </c>
      <c r="C923" s="36" t="s">
        <v>554</v>
      </c>
      <c r="D923" s="36">
        <v>310</v>
      </c>
      <c r="E923" s="40">
        <v>32073401</v>
      </c>
      <c r="F923" s="40">
        <v>0</v>
      </c>
      <c r="G923" s="25">
        <f t="shared" si="36"/>
        <v>32073401</v>
      </c>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c r="AH923" s="32"/>
    </row>
    <row r="924" spans="1:34" s="3" customFormat="1" ht="30.75">
      <c r="A924" s="48" t="s">
        <v>555</v>
      </c>
      <c r="B924" s="33" t="s">
        <v>542</v>
      </c>
      <c r="C924" s="36" t="s">
        <v>556</v>
      </c>
      <c r="D924" s="36"/>
      <c r="E924" s="40">
        <f>SUM(E925,E932)</f>
        <v>34179246.25</v>
      </c>
      <c r="F924" s="40">
        <f>SUM(F925,F932)</f>
        <v>1120715</v>
      </c>
      <c r="G924" s="25">
        <f t="shared" si="36"/>
        <v>35299961.25</v>
      </c>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row>
    <row r="925" spans="1:34" s="3" customFormat="1" ht="30.75">
      <c r="A925" s="48" t="s">
        <v>557</v>
      </c>
      <c r="B925" s="33" t="s">
        <v>542</v>
      </c>
      <c r="C925" s="36" t="s">
        <v>558</v>
      </c>
      <c r="D925" s="36"/>
      <c r="E925" s="40">
        <f>E926+E928+E930</f>
        <v>21293576</v>
      </c>
      <c r="F925" s="40">
        <f>F926+F928+F930</f>
        <v>1120715</v>
      </c>
      <c r="G925" s="25">
        <f t="shared" si="36"/>
        <v>22414291</v>
      </c>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c r="AH925" s="32"/>
    </row>
    <row r="926" spans="1:34" s="3" customFormat="1" ht="62.25">
      <c r="A926" s="34" t="s">
        <v>660</v>
      </c>
      <c r="B926" s="33" t="s">
        <v>542</v>
      </c>
      <c r="C926" s="36" t="s">
        <v>558</v>
      </c>
      <c r="D926" s="33" t="s">
        <v>661</v>
      </c>
      <c r="E926" s="40">
        <f>E927</f>
        <v>19112319</v>
      </c>
      <c r="F926" s="40">
        <f>F927</f>
        <v>0</v>
      </c>
      <c r="G926" s="25">
        <f t="shared" si="36"/>
        <v>19112319</v>
      </c>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row>
    <row r="927" spans="1:34" s="3" customFormat="1" ht="30.75">
      <c r="A927" s="34" t="s">
        <v>662</v>
      </c>
      <c r="B927" s="33" t="s">
        <v>542</v>
      </c>
      <c r="C927" s="36" t="s">
        <v>558</v>
      </c>
      <c r="D927" s="33" t="s">
        <v>663</v>
      </c>
      <c r="E927" s="40">
        <v>19112319</v>
      </c>
      <c r="F927" s="40">
        <v>0</v>
      </c>
      <c r="G927" s="25">
        <f t="shared" si="36"/>
        <v>19112319</v>
      </c>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c r="AH927" s="32"/>
    </row>
    <row r="928" spans="1:34" s="3" customFormat="1" ht="30.75">
      <c r="A928" s="35" t="s">
        <v>664</v>
      </c>
      <c r="B928" s="33" t="s">
        <v>542</v>
      </c>
      <c r="C928" s="36" t="s">
        <v>558</v>
      </c>
      <c r="D928" s="33" t="s">
        <v>665</v>
      </c>
      <c r="E928" s="40">
        <f>E929</f>
        <v>2171257</v>
      </c>
      <c r="F928" s="40">
        <f>F929</f>
        <v>1120715</v>
      </c>
      <c r="G928" s="25">
        <f t="shared" si="36"/>
        <v>3291972</v>
      </c>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c r="AH928" s="32"/>
    </row>
    <row r="929" spans="1:34" s="3" customFormat="1" ht="30.75">
      <c r="A929" s="35" t="s">
        <v>666</v>
      </c>
      <c r="B929" s="33" t="s">
        <v>542</v>
      </c>
      <c r="C929" s="36" t="s">
        <v>558</v>
      </c>
      <c r="D929" s="33" t="s">
        <v>667</v>
      </c>
      <c r="E929" s="40">
        <v>2171257</v>
      </c>
      <c r="F929" s="40">
        <v>1120715</v>
      </c>
      <c r="G929" s="25">
        <f t="shared" si="36"/>
        <v>3291972</v>
      </c>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c r="AH929" s="32"/>
    </row>
    <row r="930" spans="1:34" s="3" customFormat="1" ht="15">
      <c r="A930" s="35" t="s">
        <v>668</v>
      </c>
      <c r="B930" s="33" t="s">
        <v>542</v>
      </c>
      <c r="C930" s="36" t="s">
        <v>558</v>
      </c>
      <c r="D930" s="33" t="s">
        <v>669</v>
      </c>
      <c r="E930" s="40">
        <f>E931</f>
        <v>10000</v>
      </c>
      <c r="F930" s="40">
        <f>F931</f>
        <v>0</v>
      </c>
      <c r="G930" s="25">
        <f t="shared" si="36"/>
        <v>10000</v>
      </c>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c r="AH930" s="32"/>
    </row>
    <row r="931" spans="1:34" s="3" customFormat="1" ht="15">
      <c r="A931" s="35" t="s">
        <v>670</v>
      </c>
      <c r="B931" s="33" t="s">
        <v>542</v>
      </c>
      <c r="C931" s="36" t="s">
        <v>558</v>
      </c>
      <c r="D931" s="33" t="s">
        <v>671</v>
      </c>
      <c r="E931" s="40">
        <v>10000</v>
      </c>
      <c r="F931" s="40">
        <v>0</v>
      </c>
      <c r="G931" s="25">
        <f t="shared" si="36"/>
        <v>10000</v>
      </c>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c r="AH931" s="32"/>
    </row>
    <row r="932" spans="1:34" s="3" customFormat="1" ht="46.5">
      <c r="A932" s="31" t="s">
        <v>559</v>
      </c>
      <c r="B932" s="24" t="s">
        <v>542</v>
      </c>
      <c r="C932" s="26" t="s">
        <v>560</v>
      </c>
      <c r="D932" s="26"/>
      <c r="E932" s="49">
        <f>E933+E935</f>
        <v>12885670.25</v>
      </c>
      <c r="F932" s="49">
        <f>F933+F935</f>
        <v>0</v>
      </c>
      <c r="G932" s="25">
        <f t="shared" si="36"/>
        <v>12885670.25</v>
      </c>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c r="AH932" s="32"/>
    </row>
    <row r="933" spans="1:34" s="3" customFormat="1" ht="62.25">
      <c r="A933" s="23" t="s">
        <v>660</v>
      </c>
      <c r="B933" s="24" t="s">
        <v>542</v>
      </c>
      <c r="C933" s="26" t="s">
        <v>560</v>
      </c>
      <c r="D933" s="24" t="s">
        <v>661</v>
      </c>
      <c r="E933" s="49">
        <f>E934</f>
        <v>11385000</v>
      </c>
      <c r="F933" s="49">
        <f>F934</f>
        <v>0</v>
      </c>
      <c r="G933" s="25">
        <f t="shared" si="36"/>
        <v>11385000</v>
      </c>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c r="AH933" s="32"/>
    </row>
    <row r="934" spans="1:34" s="3" customFormat="1" ht="30.75">
      <c r="A934" s="23" t="s">
        <v>662</v>
      </c>
      <c r="B934" s="24" t="s">
        <v>542</v>
      </c>
      <c r="C934" s="26" t="s">
        <v>560</v>
      </c>
      <c r="D934" s="24" t="s">
        <v>663</v>
      </c>
      <c r="E934" s="49">
        <v>11385000</v>
      </c>
      <c r="F934" s="49">
        <v>0</v>
      </c>
      <c r="G934" s="25">
        <f t="shared" si="36"/>
        <v>11385000</v>
      </c>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row>
    <row r="935" spans="1:34" s="3" customFormat="1" ht="30.75">
      <c r="A935" s="28" t="s">
        <v>664</v>
      </c>
      <c r="B935" s="24" t="s">
        <v>542</v>
      </c>
      <c r="C935" s="26" t="s">
        <v>560</v>
      </c>
      <c r="D935" s="24" t="s">
        <v>665</v>
      </c>
      <c r="E935" s="49">
        <f>E936</f>
        <v>1500670.25</v>
      </c>
      <c r="F935" s="49">
        <f>F936</f>
        <v>0</v>
      </c>
      <c r="G935" s="25">
        <f t="shared" si="36"/>
        <v>1500670.25</v>
      </c>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row>
    <row r="936" spans="1:34" s="3" customFormat="1" ht="30.75">
      <c r="A936" s="28" t="s">
        <v>666</v>
      </c>
      <c r="B936" s="24" t="s">
        <v>542</v>
      </c>
      <c r="C936" s="26" t="s">
        <v>560</v>
      </c>
      <c r="D936" s="24" t="s">
        <v>667</v>
      </c>
      <c r="E936" s="49">
        <v>1500670.25</v>
      </c>
      <c r="F936" s="49">
        <v>0</v>
      </c>
      <c r="G936" s="25">
        <f t="shared" si="36"/>
        <v>1500670.25</v>
      </c>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row>
    <row r="937" spans="1:34" s="3" customFormat="1" ht="15">
      <c r="A937" s="28" t="s">
        <v>674</v>
      </c>
      <c r="B937" s="24" t="s">
        <v>542</v>
      </c>
      <c r="C937" s="26" t="s">
        <v>675</v>
      </c>
      <c r="D937" s="24"/>
      <c r="E937" s="49">
        <f>E942+E938</f>
        <v>3000000</v>
      </c>
      <c r="F937" s="49">
        <f>F942+F938</f>
        <v>909000</v>
      </c>
      <c r="G937" s="25">
        <f t="shared" si="36"/>
        <v>3909000</v>
      </c>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row>
    <row r="938" spans="1:34" s="3" customFormat="1" ht="24.75" customHeight="1">
      <c r="A938" s="28" t="s">
        <v>676</v>
      </c>
      <c r="B938" s="24" t="s">
        <v>542</v>
      </c>
      <c r="C938" s="26" t="s">
        <v>677</v>
      </c>
      <c r="D938" s="24"/>
      <c r="E938" s="49">
        <f aca="true" t="shared" si="37" ref="E938:F940">E939</f>
        <v>0</v>
      </c>
      <c r="F938" s="49">
        <f t="shared" si="37"/>
        <v>1006000</v>
      </c>
      <c r="G938" s="25">
        <f t="shared" si="36"/>
        <v>1006000</v>
      </c>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c r="AH938" s="32"/>
    </row>
    <row r="939" spans="1:34" s="3" customFormat="1" ht="65.25" customHeight="1">
      <c r="A939" s="28" t="s">
        <v>642</v>
      </c>
      <c r="B939" s="24" t="s">
        <v>542</v>
      </c>
      <c r="C939" s="26" t="s">
        <v>641</v>
      </c>
      <c r="D939" s="24"/>
      <c r="E939" s="49">
        <f t="shared" si="37"/>
        <v>0</v>
      </c>
      <c r="F939" s="49">
        <f t="shared" si="37"/>
        <v>1006000</v>
      </c>
      <c r="G939" s="25">
        <f t="shared" si="36"/>
        <v>1006000</v>
      </c>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c r="AH939" s="32"/>
    </row>
    <row r="940" spans="1:34" s="3" customFormat="1" ht="65.25" customHeight="1">
      <c r="A940" s="23" t="s">
        <v>660</v>
      </c>
      <c r="B940" s="24" t="s">
        <v>542</v>
      </c>
      <c r="C940" s="26" t="s">
        <v>641</v>
      </c>
      <c r="D940" s="24" t="s">
        <v>661</v>
      </c>
      <c r="E940" s="49">
        <f t="shared" si="37"/>
        <v>0</v>
      </c>
      <c r="F940" s="49">
        <f t="shared" si="37"/>
        <v>1006000</v>
      </c>
      <c r="G940" s="25">
        <f t="shared" si="36"/>
        <v>1006000</v>
      </c>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c r="AH940" s="32"/>
    </row>
    <row r="941" spans="1:34" s="3" customFormat="1" ht="30.75">
      <c r="A941" s="23" t="s">
        <v>662</v>
      </c>
      <c r="B941" s="24" t="s">
        <v>542</v>
      </c>
      <c r="C941" s="26" t="s">
        <v>641</v>
      </c>
      <c r="D941" s="24" t="s">
        <v>663</v>
      </c>
      <c r="E941" s="49">
        <v>0</v>
      </c>
      <c r="F941" s="49">
        <v>1006000</v>
      </c>
      <c r="G941" s="25">
        <f t="shared" si="36"/>
        <v>1006000</v>
      </c>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c r="AH941" s="32"/>
    </row>
    <row r="942" spans="1:34" s="3" customFormat="1" ht="15">
      <c r="A942" s="28" t="s">
        <v>102</v>
      </c>
      <c r="B942" s="24" t="s">
        <v>542</v>
      </c>
      <c r="C942" s="26" t="s">
        <v>103</v>
      </c>
      <c r="D942" s="24"/>
      <c r="E942" s="49">
        <f>E943</f>
        <v>3000000</v>
      </c>
      <c r="F942" s="49">
        <f>F943</f>
        <v>-97000</v>
      </c>
      <c r="G942" s="25">
        <f t="shared" si="36"/>
        <v>2903000</v>
      </c>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c r="AH942" s="32"/>
    </row>
    <row r="943" spans="1:34" s="3" customFormat="1" ht="32.25" customHeight="1">
      <c r="A943" s="28" t="s">
        <v>561</v>
      </c>
      <c r="B943" s="24" t="s">
        <v>542</v>
      </c>
      <c r="C943" s="26" t="s">
        <v>108</v>
      </c>
      <c r="D943" s="24"/>
      <c r="E943" s="49">
        <f>E944+E946</f>
        <v>3000000</v>
      </c>
      <c r="F943" s="49">
        <f>F944+F946</f>
        <v>-97000</v>
      </c>
      <c r="G943" s="25">
        <f t="shared" si="36"/>
        <v>2903000</v>
      </c>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c r="AH943" s="32"/>
    </row>
    <row r="944" spans="1:34" s="3" customFormat="1" ht="30.75">
      <c r="A944" s="28" t="s">
        <v>664</v>
      </c>
      <c r="B944" s="24" t="s">
        <v>542</v>
      </c>
      <c r="C944" s="26" t="s">
        <v>108</v>
      </c>
      <c r="D944" s="24" t="s">
        <v>665</v>
      </c>
      <c r="E944" s="49">
        <f>E945</f>
        <v>29703</v>
      </c>
      <c r="F944" s="49">
        <f>F945</f>
        <v>-970</v>
      </c>
      <c r="G944" s="25">
        <f t="shared" si="36"/>
        <v>28733</v>
      </c>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c r="AH944" s="32"/>
    </row>
    <row r="945" spans="1:34" s="3" customFormat="1" ht="30.75">
      <c r="A945" s="28" t="s">
        <v>666</v>
      </c>
      <c r="B945" s="24" t="s">
        <v>542</v>
      </c>
      <c r="C945" s="26" t="s">
        <v>108</v>
      </c>
      <c r="D945" s="24" t="s">
        <v>667</v>
      </c>
      <c r="E945" s="49">
        <v>29703</v>
      </c>
      <c r="F945" s="49">
        <v>-970</v>
      </c>
      <c r="G945" s="25">
        <f t="shared" si="36"/>
        <v>28733</v>
      </c>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c r="AH945" s="32"/>
    </row>
    <row r="946" spans="1:34" s="3" customFormat="1" ht="15">
      <c r="A946" s="48" t="s">
        <v>115</v>
      </c>
      <c r="B946" s="24" t="s">
        <v>542</v>
      </c>
      <c r="C946" s="26" t="s">
        <v>108</v>
      </c>
      <c r="D946" s="24" t="s">
        <v>410</v>
      </c>
      <c r="E946" s="49">
        <f>E947</f>
        <v>2970297</v>
      </c>
      <c r="F946" s="49">
        <f>F947</f>
        <v>-96030</v>
      </c>
      <c r="G946" s="25">
        <f t="shared" si="36"/>
        <v>2874267</v>
      </c>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row>
    <row r="947" spans="1:34" s="3" customFormat="1" ht="15">
      <c r="A947" s="48" t="s">
        <v>475</v>
      </c>
      <c r="B947" s="24" t="s">
        <v>542</v>
      </c>
      <c r="C947" s="26" t="s">
        <v>108</v>
      </c>
      <c r="D947" s="24" t="s">
        <v>562</v>
      </c>
      <c r="E947" s="49">
        <v>2970297</v>
      </c>
      <c r="F947" s="49">
        <v>-96030</v>
      </c>
      <c r="G947" s="25">
        <f t="shared" si="36"/>
        <v>2874267</v>
      </c>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c r="AH947" s="32"/>
    </row>
    <row r="948" spans="1:34" s="3" customFormat="1" ht="15">
      <c r="A948" s="17" t="s">
        <v>563</v>
      </c>
      <c r="B948" s="18" t="s">
        <v>564</v>
      </c>
      <c r="C948" s="26"/>
      <c r="D948" s="26"/>
      <c r="E948" s="66">
        <f>SUM(E972,E949)</f>
        <v>156748782.45</v>
      </c>
      <c r="F948" s="66">
        <f>SUM(F972,F949)</f>
        <v>3073972</v>
      </c>
      <c r="G948" s="19">
        <f t="shared" si="36"/>
        <v>159822754.45</v>
      </c>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c r="AH948" s="32"/>
    </row>
    <row r="949" spans="1:34" s="3" customFormat="1" ht="15.75">
      <c r="A949" s="20" t="s">
        <v>565</v>
      </c>
      <c r="B949" s="21" t="s">
        <v>566</v>
      </c>
      <c r="C949" s="26"/>
      <c r="D949" s="26"/>
      <c r="E949" s="47">
        <f>E950+E967</f>
        <v>144748782.45</v>
      </c>
      <c r="F949" s="47">
        <f>F950+F967</f>
        <v>3073972</v>
      </c>
      <c r="G949" s="22">
        <f t="shared" si="36"/>
        <v>147822754.45</v>
      </c>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row>
    <row r="950" spans="1:34" s="16" customFormat="1" ht="30.75">
      <c r="A950" s="31" t="s">
        <v>567</v>
      </c>
      <c r="B950" s="24" t="s">
        <v>566</v>
      </c>
      <c r="C950" s="26" t="s">
        <v>568</v>
      </c>
      <c r="D950" s="26"/>
      <c r="E950" s="27">
        <f>SUM(E951,E954,E960,E964,E957)</f>
        <v>143082115.78</v>
      </c>
      <c r="F950" s="27">
        <f>SUM(F951,F954,F960,F964,F957)</f>
        <v>3073972</v>
      </c>
      <c r="G950" s="25">
        <f t="shared" si="36"/>
        <v>146156087.78</v>
      </c>
      <c r="H950" s="3"/>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row>
    <row r="951" spans="1:34" s="16" customFormat="1" ht="30.75">
      <c r="A951" s="97" t="s">
        <v>569</v>
      </c>
      <c r="B951" s="24" t="s">
        <v>566</v>
      </c>
      <c r="C951" s="26" t="s">
        <v>570</v>
      </c>
      <c r="D951" s="26"/>
      <c r="E951" s="27">
        <f>E952</f>
        <v>3000000</v>
      </c>
      <c r="F951" s="27">
        <f>F952</f>
        <v>0</v>
      </c>
      <c r="G951" s="25">
        <f t="shared" si="36"/>
        <v>3000000</v>
      </c>
      <c r="H951" s="3"/>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row>
    <row r="952" spans="1:34" s="16" customFormat="1" ht="30.75">
      <c r="A952" s="31" t="s">
        <v>53</v>
      </c>
      <c r="B952" s="24" t="s">
        <v>566</v>
      </c>
      <c r="C952" s="26" t="s">
        <v>570</v>
      </c>
      <c r="D952" s="26">
        <v>600</v>
      </c>
      <c r="E952" s="27">
        <f>E953</f>
        <v>3000000</v>
      </c>
      <c r="F952" s="27">
        <f>F953</f>
        <v>0</v>
      </c>
      <c r="G952" s="25">
        <f t="shared" si="36"/>
        <v>3000000</v>
      </c>
      <c r="H952" s="3"/>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c r="AH952" s="15"/>
    </row>
    <row r="953" spans="1:34" s="3" customFormat="1" ht="15">
      <c r="A953" s="31" t="s">
        <v>295</v>
      </c>
      <c r="B953" s="24" t="s">
        <v>566</v>
      </c>
      <c r="C953" s="26" t="s">
        <v>570</v>
      </c>
      <c r="D953" s="26">
        <v>620</v>
      </c>
      <c r="E953" s="27">
        <v>3000000</v>
      </c>
      <c r="F953" s="27">
        <v>0</v>
      </c>
      <c r="G953" s="25">
        <f t="shared" si="36"/>
        <v>3000000</v>
      </c>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c r="AH953" s="32"/>
    </row>
    <row r="954" spans="1:34" s="16" customFormat="1" ht="46.5">
      <c r="A954" s="31" t="s">
        <v>571</v>
      </c>
      <c r="B954" s="24" t="s">
        <v>566</v>
      </c>
      <c r="C954" s="26" t="s">
        <v>572</v>
      </c>
      <c r="D954" s="26"/>
      <c r="E954" s="27">
        <f>E955</f>
        <v>30500000</v>
      </c>
      <c r="F954" s="27">
        <f>F955</f>
        <v>0</v>
      </c>
      <c r="G954" s="25">
        <f t="shared" si="36"/>
        <v>30500000</v>
      </c>
      <c r="H954" s="3"/>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row>
    <row r="955" spans="1:34" s="16" customFormat="1" ht="15">
      <c r="A955" s="31" t="s">
        <v>668</v>
      </c>
      <c r="B955" s="24" t="s">
        <v>566</v>
      </c>
      <c r="C955" s="26" t="s">
        <v>572</v>
      </c>
      <c r="D955" s="26">
        <v>800</v>
      </c>
      <c r="E955" s="27">
        <f>E956</f>
        <v>30500000</v>
      </c>
      <c r="F955" s="27">
        <f>F956</f>
        <v>0</v>
      </c>
      <c r="G955" s="25">
        <f aca="true" t="shared" si="38" ref="G955:G1004">SUM(E955:F955)</f>
        <v>30500000</v>
      </c>
      <c r="H955" s="3"/>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c r="AH955" s="15"/>
    </row>
    <row r="956" spans="1:34" s="3" customFormat="1" ht="46.5">
      <c r="A956" s="31" t="s">
        <v>142</v>
      </c>
      <c r="B956" s="24" t="s">
        <v>566</v>
      </c>
      <c r="C956" s="26" t="s">
        <v>572</v>
      </c>
      <c r="D956" s="26">
        <v>810</v>
      </c>
      <c r="E956" s="27">
        <v>30500000</v>
      </c>
      <c r="F956" s="27">
        <v>0</v>
      </c>
      <c r="G956" s="25">
        <f t="shared" si="38"/>
        <v>30500000</v>
      </c>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row>
    <row r="957" spans="1:34" s="98" customFormat="1" ht="79.5" customHeight="1">
      <c r="A957" s="31" t="s">
        <v>575</v>
      </c>
      <c r="B957" s="24" t="s">
        <v>566</v>
      </c>
      <c r="C957" s="26" t="s">
        <v>576</v>
      </c>
      <c r="D957" s="26"/>
      <c r="E957" s="27">
        <f>E958</f>
        <v>15539338</v>
      </c>
      <c r="F957" s="27">
        <f>F958</f>
        <v>0</v>
      </c>
      <c r="G957" s="25">
        <f>SUM(E957:F957)</f>
        <v>15539338</v>
      </c>
      <c r="I957" s="99"/>
      <c r="J957" s="99"/>
      <c r="K957" s="99"/>
      <c r="L957" s="99"/>
      <c r="M957" s="99"/>
      <c r="N957" s="99"/>
      <c r="O957" s="99"/>
      <c r="P957" s="99"/>
      <c r="Q957" s="99"/>
      <c r="R957" s="99"/>
      <c r="S957" s="99"/>
      <c r="T957" s="99"/>
      <c r="U957" s="99"/>
      <c r="V957" s="99"/>
      <c r="W957" s="99"/>
      <c r="X957" s="99"/>
      <c r="Y957" s="99"/>
      <c r="Z957" s="99"/>
      <c r="AA957" s="99"/>
      <c r="AB957" s="99"/>
      <c r="AC957" s="99"/>
      <c r="AD957" s="99"/>
      <c r="AE957" s="99"/>
      <c r="AF957" s="99"/>
      <c r="AG957" s="99"/>
      <c r="AH957" s="99"/>
    </row>
    <row r="958" spans="1:34" s="98" customFormat="1" ht="30.75">
      <c r="A958" s="31" t="s">
        <v>53</v>
      </c>
      <c r="B958" s="24" t="s">
        <v>566</v>
      </c>
      <c r="C958" s="26" t="s">
        <v>576</v>
      </c>
      <c r="D958" s="26">
        <v>600</v>
      </c>
      <c r="E958" s="27">
        <f>E959</f>
        <v>15539338</v>
      </c>
      <c r="F958" s="27">
        <f>F959</f>
        <v>0</v>
      </c>
      <c r="G958" s="25">
        <f>SUM(E958:F958)</f>
        <v>15539338</v>
      </c>
      <c r="I958" s="99"/>
      <c r="J958" s="99"/>
      <c r="K958" s="99"/>
      <c r="L958" s="99"/>
      <c r="M958" s="99"/>
      <c r="N958" s="99"/>
      <c r="O958" s="99"/>
      <c r="P958" s="99"/>
      <c r="Q958" s="99"/>
      <c r="R958" s="99"/>
      <c r="S958" s="99"/>
      <c r="T958" s="99"/>
      <c r="U958" s="99"/>
      <c r="V958" s="99"/>
      <c r="W958" s="99"/>
      <c r="X958" s="99"/>
      <c r="Y958" s="99"/>
      <c r="Z958" s="99"/>
      <c r="AA958" s="99"/>
      <c r="AB958" s="99"/>
      <c r="AC958" s="99"/>
      <c r="AD958" s="99"/>
      <c r="AE958" s="99"/>
      <c r="AF958" s="99"/>
      <c r="AG958" s="99"/>
      <c r="AH958" s="99"/>
    </row>
    <row r="959" spans="1:34" s="98" customFormat="1" ht="15">
      <c r="A959" s="31" t="s">
        <v>54</v>
      </c>
      <c r="B959" s="24" t="s">
        <v>566</v>
      </c>
      <c r="C959" s="26" t="s">
        <v>576</v>
      </c>
      <c r="D959" s="26">
        <v>610</v>
      </c>
      <c r="E959" s="27">
        <v>15539338</v>
      </c>
      <c r="F959" s="27">
        <v>0</v>
      </c>
      <c r="G959" s="25">
        <f>SUM(E959:F959)</f>
        <v>15539338</v>
      </c>
      <c r="I959" s="99"/>
      <c r="J959" s="99"/>
      <c r="K959" s="99"/>
      <c r="L959" s="99"/>
      <c r="M959" s="99"/>
      <c r="N959" s="99"/>
      <c r="O959" s="99"/>
      <c r="P959" s="99"/>
      <c r="Q959" s="99"/>
      <c r="R959" s="99"/>
      <c r="S959" s="99"/>
      <c r="T959" s="99"/>
      <c r="U959" s="99"/>
      <c r="V959" s="99"/>
      <c r="W959" s="99"/>
      <c r="X959" s="99"/>
      <c r="Y959" s="99"/>
      <c r="Z959" s="99"/>
      <c r="AA959" s="99"/>
      <c r="AB959" s="99"/>
      <c r="AC959" s="99"/>
      <c r="AD959" s="99"/>
      <c r="AE959" s="99"/>
      <c r="AF959" s="99"/>
      <c r="AG959" s="99"/>
      <c r="AH959" s="99"/>
    </row>
    <row r="960" spans="1:7" ht="30.75">
      <c r="A960" s="31" t="s">
        <v>573</v>
      </c>
      <c r="B960" s="24" t="s">
        <v>566</v>
      </c>
      <c r="C960" s="26" t="s">
        <v>574</v>
      </c>
      <c r="D960" s="26"/>
      <c r="E960" s="27">
        <f>E961</f>
        <v>90265000</v>
      </c>
      <c r="F960" s="27">
        <f>F961</f>
        <v>3073972</v>
      </c>
      <c r="G960" s="25">
        <f t="shared" si="38"/>
        <v>93338972</v>
      </c>
    </row>
    <row r="961" spans="1:34" s="98" customFormat="1" ht="30.75">
      <c r="A961" s="31" t="s">
        <v>53</v>
      </c>
      <c r="B961" s="24" t="s">
        <v>566</v>
      </c>
      <c r="C961" s="26" t="s">
        <v>574</v>
      </c>
      <c r="D961" s="26">
        <v>600</v>
      </c>
      <c r="E961" s="27">
        <f>SUM(E962,E963)</f>
        <v>90265000</v>
      </c>
      <c r="F961" s="27">
        <f>SUM(F962,F963)</f>
        <v>3073972</v>
      </c>
      <c r="G961" s="25">
        <f t="shared" si="38"/>
        <v>93338972</v>
      </c>
      <c r="I961" s="99"/>
      <c r="J961" s="99"/>
      <c r="K961" s="99"/>
      <c r="L961" s="99"/>
      <c r="M961" s="99"/>
      <c r="N961" s="99"/>
      <c r="O961" s="99"/>
      <c r="P961" s="99"/>
      <c r="Q961" s="99"/>
      <c r="R961" s="99"/>
      <c r="S961" s="99"/>
      <c r="T961" s="99"/>
      <c r="U961" s="99"/>
      <c r="V961" s="99"/>
      <c r="W961" s="99"/>
      <c r="X961" s="99"/>
      <c r="Y961" s="99"/>
      <c r="Z961" s="99"/>
      <c r="AA961" s="99"/>
      <c r="AB961" s="99"/>
      <c r="AC961" s="99"/>
      <c r="AD961" s="99"/>
      <c r="AE961" s="99"/>
      <c r="AF961" s="99"/>
      <c r="AG961" s="99"/>
      <c r="AH961" s="99"/>
    </row>
    <row r="962" spans="1:34" s="98" customFormat="1" ht="15">
      <c r="A962" s="31" t="s">
        <v>54</v>
      </c>
      <c r="B962" s="24" t="s">
        <v>566</v>
      </c>
      <c r="C962" s="26" t="s">
        <v>574</v>
      </c>
      <c r="D962" s="26">
        <v>610</v>
      </c>
      <c r="E962" s="27">
        <v>27265000</v>
      </c>
      <c r="F962" s="27">
        <v>0</v>
      </c>
      <c r="G962" s="25">
        <f t="shared" si="38"/>
        <v>27265000</v>
      </c>
      <c r="I962" s="99"/>
      <c r="J962" s="99"/>
      <c r="K962" s="99"/>
      <c r="L962" s="99"/>
      <c r="M962" s="99"/>
      <c r="N962" s="99"/>
      <c r="O962" s="99"/>
      <c r="P962" s="99"/>
      <c r="Q962" s="99"/>
      <c r="R962" s="99"/>
      <c r="S962" s="99"/>
      <c r="T962" s="99"/>
      <c r="U962" s="99"/>
      <c r="V962" s="99"/>
      <c r="W962" s="99"/>
      <c r="X962" s="99"/>
      <c r="Y962" s="99"/>
      <c r="Z962" s="99"/>
      <c r="AA962" s="99"/>
      <c r="AB962" s="99"/>
      <c r="AC962" s="99"/>
      <c r="AD962" s="99"/>
      <c r="AE962" s="99"/>
      <c r="AF962" s="99"/>
      <c r="AG962" s="99"/>
      <c r="AH962" s="99"/>
    </row>
    <row r="963" spans="1:34" s="98" customFormat="1" ht="15">
      <c r="A963" s="31" t="s">
        <v>295</v>
      </c>
      <c r="B963" s="24" t="s">
        <v>566</v>
      </c>
      <c r="C963" s="26" t="s">
        <v>574</v>
      </c>
      <c r="D963" s="26">
        <v>620</v>
      </c>
      <c r="E963" s="27">
        <v>63000000</v>
      </c>
      <c r="F963" s="27">
        <f>437600+2136372+500000</f>
        <v>3073972</v>
      </c>
      <c r="G963" s="25">
        <f t="shared" si="38"/>
        <v>66073972</v>
      </c>
      <c r="I963" s="99"/>
      <c r="J963" s="99"/>
      <c r="K963" s="99"/>
      <c r="L963" s="99"/>
      <c r="M963" s="99"/>
      <c r="N963" s="99"/>
      <c r="O963" s="99"/>
      <c r="P963" s="99"/>
      <c r="Q963" s="99"/>
      <c r="R963" s="99"/>
      <c r="S963" s="99"/>
      <c r="T963" s="99"/>
      <c r="U963" s="99"/>
      <c r="V963" s="99"/>
      <c r="W963" s="99"/>
      <c r="X963" s="99"/>
      <c r="Y963" s="99"/>
      <c r="Z963" s="99"/>
      <c r="AA963" s="99"/>
      <c r="AB963" s="99"/>
      <c r="AC963" s="99"/>
      <c r="AD963" s="99"/>
      <c r="AE963" s="99"/>
      <c r="AF963" s="99"/>
      <c r="AG963" s="99"/>
      <c r="AH963" s="99"/>
    </row>
    <row r="964" spans="1:34" s="42" customFormat="1" ht="135.75" customHeight="1">
      <c r="A964" s="80" t="s">
        <v>636</v>
      </c>
      <c r="B964" s="33" t="s">
        <v>566</v>
      </c>
      <c r="C964" s="36" t="s">
        <v>577</v>
      </c>
      <c r="D964" s="36"/>
      <c r="E964" s="37">
        <f>E965</f>
        <v>3777777.7800000003</v>
      </c>
      <c r="F964" s="37">
        <f>F965</f>
        <v>0</v>
      </c>
      <c r="G964" s="25">
        <f t="shared" si="38"/>
        <v>3777777.7800000003</v>
      </c>
      <c r="H964" s="38"/>
      <c r="I964" s="41"/>
      <c r="J964" s="41"/>
      <c r="K964" s="41"/>
      <c r="L964" s="41"/>
      <c r="M964" s="41"/>
      <c r="N964" s="41"/>
      <c r="O964" s="41"/>
      <c r="P964" s="41"/>
      <c r="Q964" s="41"/>
      <c r="R964" s="41"/>
      <c r="S964" s="41"/>
      <c r="T964" s="41"/>
      <c r="U964" s="41"/>
      <c r="V964" s="41"/>
      <c r="W964" s="41"/>
      <c r="X964" s="41"/>
      <c r="Y964" s="41"/>
      <c r="Z964" s="41"/>
      <c r="AA964" s="41"/>
      <c r="AB964" s="41"/>
      <c r="AC964" s="41"/>
      <c r="AD964" s="41"/>
      <c r="AE964" s="41"/>
      <c r="AF964" s="41"/>
      <c r="AG964" s="41"/>
      <c r="AH964" s="41"/>
    </row>
    <row r="965" spans="1:34" s="100" customFormat="1" ht="30.75">
      <c r="A965" s="48" t="s">
        <v>53</v>
      </c>
      <c r="B965" s="33" t="s">
        <v>566</v>
      </c>
      <c r="C965" s="36" t="s">
        <v>577</v>
      </c>
      <c r="D965" s="36">
        <v>600</v>
      </c>
      <c r="E965" s="37">
        <f>SUM(E966:E966)</f>
        <v>3777777.7800000003</v>
      </c>
      <c r="F965" s="37">
        <f>SUM(F966:F966)</f>
        <v>0</v>
      </c>
      <c r="G965" s="25">
        <f t="shared" si="38"/>
        <v>3777777.7800000003</v>
      </c>
      <c r="I965" s="101"/>
      <c r="J965" s="101"/>
      <c r="K965" s="101"/>
      <c r="L965" s="101"/>
      <c r="M965" s="101"/>
      <c r="N965" s="101"/>
      <c r="O965" s="101"/>
      <c r="P965" s="101"/>
      <c r="Q965" s="101"/>
      <c r="R965" s="101"/>
      <c r="S965" s="101"/>
      <c r="T965" s="101"/>
      <c r="U965" s="101"/>
      <c r="V965" s="101"/>
      <c r="W965" s="101"/>
      <c r="X965" s="101"/>
      <c r="Y965" s="101"/>
      <c r="Z965" s="101"/>
      <c r="AA965" s="101"/>
      <c r="AB965" s="101"/>
      <c r="AC965" s="101"/>
      <c r="AD965" s="101"/>
      <c r="AE965" s="101"/>
      <c r="AF965" s="101"/>
      <c r="AG965" s="101"/>
      <c r="AH965" s="101"/>
    </row>
    <row r="966" spans="1:34" s="100" customFormat="1" ht="15">
      <c r="A966" s="31" t="s">
        <v>54</v>
      </c>
      <c r="B966" s="33" t="s">
        <v>566</v>
      </c>
      <c r="C966" s="36" t="s">
        <v>577</v>
      </c>
      <c r="D966" s="36">
        <v>610</v>
      </c>
      <c r="E966" s="37">
        <f>3400000+377777.78</f>
        <v>3777777.7800000003</v>
      </c>
      <c r="F966" s="37">
        <v>0</v>
      </c>
      <c r="G966" s="25">
        <f t="shared" si="38"/>
        <v>3777777.7800000003</v>
      </c>
      <c r="I966" s="101"/>
      <c r="J966" s="101"/>
      <c r="K966" s="101"/>
      <c r="L966" s="101"/>
      <c r="M966" s="101"/>
      <c r="N966" s="101"/>
      <c r="O966" s="101"/>
      <c r="P966" s="101"/>
      <c r="Q966" s="101"/>
      <c r="R966" s="101"/>
      <c r="S966" s="101"/>
      <c r="T966" s="101"/>
      <c r="U966" s="101"/>
      <c r="V966" s="101"/>
      <c r="W966" s="101"/>
      <c r="X966" s="101"/>
      <c r="Y966" s="101"/>
      <c r="Z966" s="101"/>
      <c r="AA966" s="101"/>
      <c r="AB966" s="101"/>
      <c r="AC966" s="101"/>
      <c r="AD966" s="101"/>
      <c r="AE966" s="101"/>
      <c r="AF966" s="101"/>
      <c r="AG966" s="101"/>
      <c r="AH966" s="101"/>
    </row>
    <row r="967" spans="1:34" s="100" customFormat="1" ht="33" customHeight="1">
      <c r="A967" s="48" t="s">
        <v>578</v>
      </c>
      <c r="B967" s="24" t="s">
        <v>566</v>
      </c>
      <c r="C967" s="36" t="s">
        <v>148</v>
      </c>
      <c r="D967" s="36"/>
      <c r="E967" s="37">
        <f aca="true" t="shared" si="39" ref="E967:F970">E968</f>
        <v>1666666.67</v>
      </c>
      <c r="F967" s="37">
        <f t="shared" si="39"/>
        <v>0</v>
      </c>
      <c r="G967" s="25">
        <f t="shared" si="38"/>
        <v>1666666.67</v>
      </c>
      <c r="I967" s="101"/>
      <c r="J967" s="101"/>
      <c r="K967" s="101"/>
      <c r="L967" s="101"/>
      <c r="M967" s="101"/>
      <c r="N967" s="101"/>
      <c r="O967" s="101"/>
      <c r="P967" s="101"/>
      <c r="Q967" s="101"/>
      <c r="R967" s="101"/>
      <c r="S967" s="101"/>
      <c r="T967" s="101"/>
      <c r="U967" s="101"/>
      <c r="V967" s="101"/>
      <c r="W967" s="101"/>
      <c r="X967" s="101"/>
      <c r="Y967" s="101"/>
      <c r="Z967" s="101"/>
      <c r="AA967" s="101"/>
      <c r="AB967" s="101"/>
      <c r="AC967" s="101"/>
      <c r="AD967" s="101"/>
      <c r="AE967" s="101"/>
      <c r="AF967" s="101"/>
      <c r="AG967" s="101"/>
      <c r="AH967" s="101"/>
    </row>
    <row r="968" spans="1:34" s="100" customFormat="1" ht="21.75" customHeight="1">
      <c r="A968" s="48" t="s">
        <v>149</v>
      </c>
      <c r="B968" s="24" t="s">
        <v>566</v>
      </c>
      <c r="C968" s="36" t="s">
        <v>150</v>
      </c>
      <c r="D968" s="36"/>
      <c r="E968" s="37">
        <f t="shared" si="39"/>
        <v>1666666.67</v>
      </c>
      <c r="F968" s="37">
        <f t="shared" si="39"/>
        <v>0</v>
      </c>
      <c r="G968" s="25">
        <f t="shared" si="38"/>
        <v>1666666.67</v>
      </c>
      <c r="I968" s="101"/>
      <c r="J968" s="101"/>
      <c r="K968" s="101"/>
      <c r="L968" s="101"/>
      <c r="M968" s="101"/>
      <c r="N968" s="101"/>
      <c r="O968" s="101"/>
      <c r="P968" s="101"/>
      <c r="Q968" s="101"/>
      <c r="R968" s="101"/>
      <c r="S968" s="101"/>
      <c r="T968" s="101"/>
      <c r="U968" s="101"/>
      <c r="V968" s="101"/>
      <c r="W968" s="101"/>
      <c r="X968" s="101"/>
      <c r="Y968" s="101"/>
      <c r="Z968" s="101"/>
      <c r="AA968" s="101"/>
      <c r="AB968" s="101"/>
      <c r="AC968" s="101"/>
      <c r="AD968" s="101"/>
      <c r="AE968" s="101"/>
      <c r="AF968" s="101"/>
      <c r="AG968" s="101"/>
      <c r="AH968" s="101"/>
    </row>
    <row r="969" spans="1:34" s="100" customFormat="1" ht="46.5">
      <c r="A969" s="31" t="s">
        <v>579</v>
      </c>
      <c r="B969" s="24" t="s">
        <v>566</v>
      </c>
      <c r="C969" s="36" t="s">
        <v>580</v>
      </c>
      <c r="D969" s="36"/>
      <c r="E969" s="37">
        <f t="shared" si="39"/>
        <v>1666666.67</v>
      </c>
      <c r="F969" s="37">
        <f t="shared" si="39"/>
        <v>0</v>
      </c>
      <c r="G969" s="25">
        <f t="shared" si="38"/>
        <v>1666666.67</v>
      </c>
      <c r="I969" s="101"/>
      <c r="J969" s="101"/>
      <c r="K969" s="101"/>
      <c r="L969" s="101"/>
      <c r="M969" s="101"/>
      <c r="N969" s="101"/>
      <c r="O969" s="101"/>
      <c r="P969" s="101"/>
      <c r="Q969" s="101"/>
      <c r="R969" s="101"/>
      <c r="S969" s="101"/>
      <c r="T969" s="101"/>
      <c r="U969" s="101"/>
      <c r="V969" s="101"/>
      <c r="W969" s="101"/>
      <c r="X969" s="101"/>
      <c r="Y969" s="101"/>
      <c r="Z969" s="101"/>
      <c r="AA969" s="101"/>
      <c r="AB969" s="101"/>
      <c r="AC969" s="101"/>
      <c r="AD969" s="101"/>
      <c r="AE969" s="101"/>
      <c r="AF969" s="101"/>
      <c r="AG969" s="101"/>
      <c r="AH969" s="101"/>
    </row>
    <row r="970" spans="1:34" s="100" customFormat="1" ht="30.75">
      <c r="A970" s="48" t="s">
        <v>53</v>
      </c>
      <c r="B970" s="24" t="s">
        <v>566</v>
      </c>
      <c r="C970" s="36" t="s">
        <v>580</v>
      </c>
      <c r="D970" s="36">
        <v>600</v>
      </c>
      <c r="E970" s="37">
        <f t="shared" si="39"/>
        <v>1666666.67</v>
      </c>
      <c r="F970" s="37">
        <f t="shared" si="39"/>
        <v>0</v>
      </c>
      <c r="G970" s="25">
        <f t="shared" si="38"/>
        <v>1666666.67</v>
      </c>
      <c r="I970" s="101"/>
      <c r="J970" s="101"/>
      <c r="K970" s="101"/>
      <c r="L970" s="101"/>
      <c r="M970" s="101"/>
      <c r="N970" s="101"/>
      <c r="O970" s="101"/>
      <c r="P970" s="101"/>
      <c r="Q970" s="101"/>
      <c r="R970" s="101"/>
      <c r="S970" s="101"/>
      <c r="T970" s="101"/>
      <c r="U970" s="101"/>
      <c r="V970" s="101"/>
      <c r="W970" s="101"/>
      <c r="X970" s="101"/>
      <c r="Y970" s="101"/>
      <c r="Z970" s="101"/>
      <c r="AA970" s="101"/>
      <c r="AB970" s="101"/>
      <c r="AC970" s="101"/>
      <c r="AD970" s="101"/>
      <c r="AE970" s="101"/>
      <c r="AF970" s="101"/>
      <c r="AG970" s="101"/>
      <c r="AH970" s="101"/>
    </row>
    <row r="971" spans="1:34" s="100" customFormat="1" ht="15">
      <c r="A971" s="31" t="s">
        <v>295</v>
      </c>
      <c r="B971" s="24" t="s">
        <v>566</v>
      </c>
      <c r="C971" s="36" t="s">
        <v>580</v>
      </c>
      <c r="D971" s="36">
        <v>620</v>
      </c>
      <c r="E971" s="37">
        <v>1666666.67</v>
      </c>
      <c r="F971" s="37">
        <v>0</v>
      </c>
      <c r="G971" s="25">
        <f t="shared" si="38"/>
        <v>1666666.67</v>
      </c>
      <c r="I971" s="101"/>
      <c r="J971" s="101"/>
      <c r="K971" s="101"/>
      <c r="L971" s="101"/>
      <c r="M971" s="101"/>
      <c r="N971" s="101"/>
      <c r="O971" s="101"/>
      <c r="P971" s="101"/>
      <c r="Q971" s="101"/>
      <c r="R971" s="101"/>
      <c r="S971" s="101"/>
      <c r="T971" s="101"/>
      <c r="U971" s="101"/>
      <c r="V971" s="101"/>
      <c r="W971" s="101"/>
      <c r="X971" s="101"/>
      <c r="Y971" s="101"/>
      <c r="Z971" s="101"/>
      <c r="AA971" s="101"/>
      <c r="AB971" s="101"/>
      <c r="AC971" s="101"/>
      <c r="AD971" s="101"/>
      <c r="AE971" s="101"/>
      <c r="AF971" s="101"/>
      <c r="AG971" s="101"/>
      <c r="AH971" s="101"/>
    </row>
    <row r="972" spans="1:34" s="3" customFormat="1" ht="15.75">
      <c r="A972" s="20" t="s">
        <v>581</v>
      </c>
      <c r="B972" s="21" t="s">
        <v>582</v>
      </c>
      <c r="C972" s="26"/>
      <c r="D972" s="26"/>
      <c r="E972" s="47">
        <f aca="true" t="shared" si="40" ref="E972:F975">E973</f>
        <v>12000000</v>
      </c>
      <c r="F972" s="47">
        <f t="shared" si="40"/>
        <v>0</v>
      </c>
      <c r="G972" s="22">
        <f t="shared" si="38"/>
        <v>12000000</v>
      </c>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c r="AH972" s="32"/>
    </row>
    <row r="973" spans="1:34" s="3" customFormat="1" ht="30.75">
      <c r="A973" s="31" t="s">
        <v>567</v>
      </c>
      <c r="B973" s="24" t="s">
        <v>582</v>
      </c>
      <c r="C973" s="26" t="s">
        <v>568</v>
      </c>
      <c r="D973" s="26"/>
      <c r="E973" s="27">
        <f t="shared" si="40"/>
        <v>12000000</v>
      </c>
      <c r="F973" s="27">
        <f t="shared" si="40"/>
        <v>0</v>
      </c>
      <c r="G973" s="25">
        <f t="shared" si="38"/>
        <v>12000000</v>
      </c>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c r="AH973" s="32"/>
    </row>
    <row r="974" spans="1:34" s="3" customFormat="1" ht="30.75">
      <c r="A974" s="31" t="s">
        <v>583</v>
      </c>
      <c r="B974" s="24" t="s">
        <v>582</v>
      </c>
      <c r="C974" s="26" t="s">
        <v>584</v>
      </c>
      <c r="D974" s="26"/>
      <c r="E974" s="27">
        <f t="shared" si="40"/>
        <v>12000000</v>
      </c>
      <c r="F974" s="27">
        <f t="shared" si="40"/>
        <v>0</v>
      </c>
      <c r="G974" s="25">
        <f t="shared" si="38"/>
        <v>12000000</v>
      </c>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row>
    <row r="975" spans="1:34" s="3" customFormat="1" ht="15">
      <c r="A975" s="31" t="s">
        <v>668</v>
      </c>
      <c r="B975" s="24" t="s">
        <v>582</v>
      </c>
      <c r="C975" s="26" t="s">
        <v>584</v>
      </c>
      <c r="D975" s="26">
        <v>800</v>
      </c>
      <c r="E975" s="27">
        <f t="shared" si="40"/>
        <v>12000000</v>
      </c>
      <c r="F975" s="27">
        <f t="shared" si="40"/>
        <v>0</v>
      </c>
      <c r="G975" s="25">
        <f t="shared" si="38"/>
        <v>12000000</v>
      </c>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c r="AH975" s="32"/>
    </row>
    <row r="976" spans="1:34" s="3" customFormat="1" ht="46.5">
      <c r="A976" s="31" t="s">
        <v>142</v>
      </c>
      <c r="B976" s="24" t="s">
        <v>582</v>
      </c>
      <c r="C976" s="26" t="s">
        <v>584</v>
      </c>
      <c r="D976" s="26">
        <v>810</v>
      </c>
      <c r="E976" s="27">
        <v>12000000</v>
      </c>
      <c r="F976" s="27">
        <v>0</v>
      </c>
      <c r="G976" s="25">
        <f t="shared" si="38"/>
        <v>12000000</v>
      </c>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row>
    <row r="977" spans="1:34" s="98" customFormat="1" ht="15">
      <c r="A977" s="17" t="s">
        <v>585</v>
      </c>
      <c r="B977" s="18" t="s">
        <v>586</v>
      </c>
      <c r="C977" s="26"/>
      <c r="D977" s="26"/>
      <c r="E977" s="66">
        <f>SUM(E984,E978)</f>
        <v>3600000</v>
      </c>
      <c r="F977" s="66">
        <f>SUM(F984,F978)</f>
        <v>0</v>
      </c>
      <c r="G977" s="19">
        <f t="shared" si="38"/>
        <v>3600000</v>
      </c>
      <c r="I977" s="99"/>
      <c r="J977" s="99"/>
      <c r="K977" s="99"/>
      <c r="L977" s="99"/>
      <c r="M977" s="99"/>
      <c r="N977" s="99"/>
      <c r="O977" s="99"/>
      <c r="P977" s="99"/>
      <c r="Q977" s="99"/>
      <c r="R977" s="99"/>
      <c r="S977" s="99"/>
      <c r="T977" s="99"/>
      <c r="U977" s="99"/>
      <c r="V977" s="99"/>
      <c r="W977" s="99"/>
      <c r="X977" s="99"/>
      <c r="Y977" s="99"/>
      <c r="Z977" s="99"/>
      <c r="AA977" s="99"/>
      <c r="AB977" s="99"/>
      <c r="AC977" s="99"/>
      <c r="AD977" s="99"/>
      <c r="AE977" s="99"/>
      <c r="AF977" s="99"/>
      <c r="AG977" s="99"/>
      <c r="AH977" s="99"/>
    </row>
    <row r="978" spans="1:34" s="98" customFormat="1" ht="15.75">
      <c r="A978" s="20" t="s">
        <v>587</v>
      </c>
      <c r="B978" s="21" t="s">
        <v>588</v>
      </c>
      <c r="C978" s="26"/>
      <c r="D978" s="26"/>
      <c r="E978" s="47">
        <f aca="true" t="shared" si="41" ref="E978:F982">E979</f>
        <v>2550000</v>
      </c>
      <c r="F978" s="47">
        <f t="shared" si="41"/>
        <v>0</v>
      </c>
      <c r="G978" s="22">
        <f t="shared" si="38"/>
        <v>2550000</v>
      </c>
      <c r="I978" s="99"/>
      <c r="J978" s="99"/>
      <c r="K978" s="99"/>
      <c r="L978" s="99"/>
      <c r="M978" s="99"/>
      <c r="N978" s="99"/>
      <c r="O978" s="99"/>
      <c r="P978" s="99"/>
      <c r="Q978" s="99"/>
      <c r="R978" s="99"/>
      <c r="S978" s="99"/>
      <c r="T978" s="99"/>
      <c r="U978" s="99"/>
      <c r="V978" s="99"/>
      <c r="W978" s="99"/>
      <c r="X978" s="99"/>
      <c r="Y978" s="99"/>
      <c r="Z978" s="99"/>
      <c r="AA978" s="99"/>
      <c r="AB978" s="99"/>
      <c r="AC978" s="99"/>
      <c r="AD978" s="99"/>
      <c r="AE978" s="99"/>
      <c r="AF978" s="99"/>
      <c r="AG978" s="99"/>
      <c r="AH978" s="99"/>
    </row>
    <row r="979" spans="1:34" s="3" customFormat="1" ht="15">
      <c r="A979" s="30" t="s">
        <v>674</v>
      </c>
      <c r="B979" s="24" t="s">
        <v>588</v>
      </c>
      <c r="C979" s="26" t="s">
        <v>675</v>
      </c>
      <c r="D979" s="26"/>
      <c r="E979" s="27">
        <f t="shared" si="41"/>
        <v>2550000</v>
      </c>
      <c r="F979" s="27">
        <f t="shared" si="41"/>
        <v>0</v>
      </c>
      <c r="G979" s="25">
        <f t="shared" si="38"/>
        <v>2550000</v>
      </c>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c r="AH979" s="32"/>
    </row>
    <row r="980" spans="1:34" s="3" customFormat="1" ht="30.75">
      <c r="A980" s="31" t="s">
        <v>19</v>
      </c>
      <c r="B980" s="24" t="s">
        <v>588</v>
      </c>
      <c r="C980" s="26" t="s">
        <v>20</v>
      </c>
      <c r="D980" s="26"/>
      <c r="E980" s="27">
        <f t="shared" si="41"/>
        <v>2550000</v>
      </c>
      <c r="F980" s="27">
        <f t="shared" si="41"/>
        <v>0</v>
      </c>
      <c r="G980" s="25">
        <f t="shared" si="38"/>
        <v>2550000</v>
      </c>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c r="AH980" s="32"/>
    </row>
    <row r="981" spans="1:34" s="98" customFormat="1" ht="46.5">
      <c r="A981" s="31" t="s">
        <v>589</v>
      </c>
      <c r="B981" s="24" t="s">
        <v>588</v>
      </c>
      <c r="C981" s="26" t="s">
        <v>590</v>
      </c>
      <c r="D981" s="26"/>
      <c r="E981" s="27">
        <f t="shared" si="41"/>
        <v>2550000</v>
      </c>
      <c r="F981" s="27">
        <f t="shared" si="41"/>
        <v>0</v>
      </c>
      <c r="G981" s="25">
        <f t="shared" si="38"/>
        <v>2550000</v>
      </c>
      <c r="I981" s="99"/>
      <c r="J981" s="99"/>
      <c r="K981" s="99"/>
      <c r="L981" s="99"/>
      <c r="M981" s="99"/>
      <c r="N981" s="99"/>
      <c r="O981" s="99"/>
      <c r="P981" s="99"/>
      <c r="Q981" s="99"/>
      <c r="R981" s="99"/>
      <c r="S981" s="99"/>
      <c r="T981" s="99"/>
      <c r="U981" s="99"/>
      <c r="V981" s="99"/>
      <c r="W981" s="99"/>
      <c r="X981" s="99"/>
      <c r="Y981" s="99"/>
      <c r="Z981" s="99"/>
      <c r="AA981" s="99"/>
      <c r="AB981" s="99"/>
      <c r="AC981" s="99"/>
      <c r="AD981" s="99"/>
      <c r="AE981" s="99"/>
      <c r="AF981" s="99"/>
      <c r="AG981" s="99"/>
      <c r="AH981" s="99"/>
    </row>
    <row r="982" spans="1:34" s="98" customFormat="1" ht="30.75">
      <c r="A982" s="28" t="s">
        <v>664</v>
      </c>
      <c r="B982" s="24" t="s">
        <v>588</v>
      </c>
      <c r="C982" s="26" t="s">
        <v>590</v>
      </c>
      <c r="D982" s="26">
        <v>200</v>
      </c>
      <c r="E982" s="27">
        <f t="shared" si="41"/>
        <v>2550000</v>
      </c>
      <c r="F982" s="27">
        <f t="shared" si="41"/>
        <v>0</v>
      </c>
      <c r="G982" s="25">
        <f t="shared" si="38"/>
        <v>2550000</v>
      </c>
      <c r="I982" s="99"/>
      <c r="J982" s="99"/>
      <c r="K982" s="99"/>
      <c r="L982" s="99"/>
      <c r="M982" s="99"/>
      <c r="N982" s="99"/>
      <c r="O982" s="99"/>
      <c r="P982" s="99"/>
      <c r="Q982" s="99"/>
      <c r="R982" s="99"/>
      <c r="S982" s="99"/>
      <c r="T982" s="99"/>
      <c r="U982" s="99"/>
      <c r="V982" s="99"/>
      <c r="W982" s="99"/>
      <c r="X982" s="99"/>
      <c r="Y982" s="99"/>
      <c r="Z982" s="99"/>
      <c r="AA982" s="99"/>
      <c r="AB982" s="99"/>
      <c r="AC982" s="99"/>
      <c r="AD982" s="99"/>
      <c r="AE982" s="99"/>
      <c r="AF982" s="99"/>
      <c r="AG982" s="99"/>
      <c r="AH982" s="99"/>
    </row>
    <row r="983" spans="1:34" s="98" customFormat="1" ht="30.75">
      <c r="A983" s="28" t="s">
        <v>666</v>
      </c>
      <c r="B983" s="24" t="s">
        <v>588</v>
      </c>
      <c r="C983" s="26" t="s">
        <v>590</v>
      </c>
      <c r="D983" s="26">
        <v>240</v>
      </c>
      <c r="E983" s="27">
        <v>2550000</v>
      </c>
      <c r="F983" s="27">
        <v>0</v>
      </c>
      <c r="G983" s="25">
        <f t="shared" si="38"/>
        <v>2550000</v>
      </c>
      <c r="I983" s="99"/>
      <c r="J983" s="99"/>
      <c r="K983" s="99"/>
      <c r="L983" s="99"/>
      <c r="M983" s="99"/>
      <c r="N983" s="99"/>
      <c r="O983" s="99"/>
      <c r="P983" s="99"/>
      <c r="Q983" s="99"/>
      <c r="R983" s="99"/>
      <c r="S983" s="99"/>
      <c r="T983" s="99"/>
      <c r="U983" s="99"/>
      <c r="V983" s="99"/>
      <c r="W983" s="99"/>
      <c r="X983" s="99"/>
      <c r="Y983" s="99"/>
      <c r="Z983" s="99"/>
      <c r="AA983" s="99"/>
      <c r="AB983" s="99"/>
      <c r="AC983" s="99"/>
      <c r="AD983" s="99"/>
      <c r="AE983" s="99"/>
      <c r="AF983" s="99"/>
      <c r="AG983" s="99"/>
      <c r="AH983" s="99"/>
    </row>
    <row r="984" spans="1:34" s="98" customFormat="1" ht="15.75">
      <c r="A984" s="20" t="s">
        <v>591</v>
      </c>
      <c r="B984" s="21" t="s">
        <v>592</v>
      </c>
      <c r="C984" s="26"/>
      <c r="D984" s="26"/>
      <c r="E984" s="47">
        <f aca="true" t="shared" si="42" ref="E984:F988">E985</f>
        <v>1050000</v>
      </c>
      <c r="F984" s="47">
        <f t="shared" si="42"/>
        <v>0</v>
      </c>
      <c r="G984" s="22">
        <f t="shared" si="38"/>
        <v>1050000</v>
      </c>
      <c r="I984" s="99"/>
      <c r="J984" s="99"/>
      <c r="K984" s="99"/>
      <c r="L984" s="99"/>
      <c r="M984" s="99"/>
      <c r="N984" s="99"/>
      <c r="O984" s="99"/>
      <c r="P984" s="99"/>
      <c r="Q984" s="99"/>
      <c r="R984" s="99"/>
      <c r="S984" s="99"/>
      <c r="T984" s="99"/>
      <c r="U984" s="99"/>
      <c r="V984" s="99"/>
      <c r="W984" s="99"/>
      <c r="X984" s="99"/>
      <c r="Y984" s="99"/>
      <c r="Z984" s="99"/>
      <c r="AA984" s="99"/>
      <c r="AB984" s="99"/>
      <c r="AC984" s="99"/>
      <c r="AD984" s="99"/>
      <c r="AE984" s="99"/>
      <c r="AF984" s="99"/>
      <c r="AG984" s="99"/>
      <c r="AH984" s="99"/>
    </row>
    <row r="985" spans="1:34" s="98" customFormat="1" ht="15">
      <c r="A985" s="30" t="s">
        <v>674</v>
      </c>
      <c r="B985" s="24" t="s">
        <v>592</v>
      </c>
      <c r="C985" s="26" t="s">
        <v>675</v>
      </c>
      <c r="D985" s="26"/>
      <c r="E985" s="27">
        <f t="shared" si="42"/>
        <v>1050000</v>
      </c>
      <c r="F985" s="27">
        <f t="shared" si="42"/>
        <v>0</v>
      </c>
      <c r="G985" s="25">
        <f t="shared" si="38"/>
        <v>1050000</v>
      </c>
      <c r="I985" s="99"/>
      <c r="J985" s="99"/>
      <c r="K985" s="99"/>
      <c r="L985" s="99"/>
      <c r="M985" s="99"/>
      <c r="N985" s="99"/>
      <c r="O985" s="99"/>
      <c r="P985" s="99"/>
      <c r="Q985" s="99"/>
      <c r="R985" s="99"/>
      <c r="S985" s="99"/>
      <c r="T985" s="99"/>
      <c r="U985" s="99"/>
      <c r="V985" s="99"/>
      <c r="W985" s="99"/>
      <c r="X985" s="99"/>
      <c r="Y985" s="99"/>
      <c r="Z985" s="99"/>
      <c r="AA985" s="99"/>
      <c r="AB985" s="99"/>
      <c r="AC985" s="99"/>
      <c r="AD985" s="99"/>
      <c r="AE985" s="99"/>
      <c r="AF985" s="99"/>
      <c r="AG985" s="99"/>
      <c r="AH985" s="99"/>
    </row>
    <row r="986" spans="1:34" s="3" customFormat="1" ht="30.75">
      <c r="A986" s="31" t="s">
        <v>19</v>
      </c>
      <c r="B986" s="24" t="s">
        <v>592</v>
      </c>
      <c r="C986" s="26" t="s">
        <v>20</v>
      </c>
      <c r="D986" s="26"/>
      <c r="E986" s="27">
        <f t="shared" si="42"/>
        <v>1050000</v>
      </c>
      <c r="F986" s="27">
        <f t="shared" si="42"/>
        <v>0</v>
      </c>
      <c r="G986" s="25">
        <f t="shared" si="38"/>
        <v>1050000</v>
      </c>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row>
    <row r="987" spans="1:34" s="3" customFormat="1" ht="46.5">
      <c r="A987" s="31" t="s">
        <v>589</v>
      </c>
      <c r="B987" s="24" t="s">
        <v>592</v>
      </c>
      <c r="C987" s="26" t="s">
        <v>590</v>
      </c>
      <c r="D987" s="26"/>
      <c r="E987" s="27">
        <f t="shared" si="42"/>
        <v>1050000</v>
      </c>
      <c r="F987" s="27">
        <f t="shared" si="42"/>
        <v>0</v>
      </c>
      <c r="G987" s="25">
        <f t="shared" si="38"/>
        <v>1050000</v>
      </c>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c r="AG987" s="32"/>
      <c r="AH987" s="32"/>
    </row>
    <row r="988" spans="1:34" s="3" customFormat="1" ht="30.75">
      <c r="A988" s="28" t="s">
        <v>664</v>
      </c>
      <c r="B988" s="24" t="s">
        <v>592</v>
      </c>
      <c r="C988" s="26" t="s">
        <v>590</v>
      </c>
      <c r="D988" s="26">
        <v>200</v>
      </c>
      <c r="E988" s="27">
        <f t="shared" si="42"/>
        <v>1050000</v>
      </c>
      <c r="F988" s="27">
        <f t="shared" si="42"/>
        <v>0</v>
      </c>
      <c r="G988" s="25">
        <f t="shared" si="38"/>
        <v>1050000</v>
      </c>
      <c r="I988" s="32"/>
      <c r="J988" s="32"/>
      <c r="K988" s="32"/>
      <c r="L988" s="32"/>
      <c r="M988" s="32"/>
      <c r="N988" s="32"/>
      <c r="O988" s="32"/>
      <c r="P988" s="32"/>
      <c r="Q988" s="32"/>
      <c r="R988" s="32"/>
      <c r="S988" s="32"/>
      <c r="T988" s="32"/>
      <c r="U988" s="32"/>
      <c r="V988" s="32"/>
      <c r="W988" s="32"/>
      <c r="X988" s="32"/>
      <c r="Y988" s="32"/>
      <c r="Z988" s="32"/>
      <c r="AA988" s="32"/>
      <c r="AB988" s="32"/>
      <c r="AC988" s="32"/>
      <c r="AD988" s="32"/>
      <c r="AE988" s="32"/>
      <c r="AF988" s="32"/>
      <c r="AG988" s="32"/>
      <c r="AH988" s="32"/>
    </row>
    <row r="989" spans="1:34" s="3" customFormat="1" ht="30.75">
      <c r="A989" s="28" t="s">
        <v>666</v>
      </c>
      <c r="B989" s="24" t="s">
        <v>592</v>
      </c>
      <c r="C989" s="26" t="s">
        <v>590</v>
      </c>
      <c r="D989" s="26">
        <v>240</v>
      </c>
      <c r="E989" s="27">
        <v>1050000</v>
      </c>
      <c r="F989" s="27">
        <v>0</v>
      </c>
      <c r="G989" s="25">
        <f t="shared" si="38"/>
        <v>1050000</v>
      </c>
      <c r="I989" s="32"/>
      <c r="J989" s="32"/>
      <c r="K989" s="32"/>
      <c r="L989" s="32"/>
      <c r="M989" s="32"/>
      <c r="N989" s="32"/>
      <c r="O989" s="32"/>
      <c r="P989" s="32"/>
      <c r="Q989" s="32"/>
      <c r="R989" s="32"/>
      <c r="S989" s="32"/>
      <c r="T989" s="32"/>
      <c r="U989" s="32"/>
      <c r="V989" s="32"/>
      <c r="W989" s="32"/>
      <c r="X989" s="32"/>
      <c r="Y989" s="32"/>
      <c r="Z989" s="32"/>
      <c r="AA989" s="32"/>
      <c r="AB989" s="32"/>
      <c r="AC989" s="32"/>
      <c r="AD989" s="32"/>
      <c r="AE989" s="32"/>
      <c r="AF989" s="32"/>
      <c r="AG989" s="32"/>
      <c r="AH989" s="32"/>
    </row>
    <row r="990" spans="1:34" s="3" customFormat="1" ht="23.25" customHeight="1">
      <c r="A990" s="17" t="s">
        <v>593</v>
      </c>
      <c r="B990" s="18" t="s">
        <v>594</v>
      </c>
      <c r="C990" s="26"/>
      <c r="D990" s="26"/>
      <c r="E990" s="66">
        <f aca="true" t="shared" si="43" ref="E990:E995">E991</f>
        <v>25000000</v>
      </c>
      <c r="F990" s="66">
        <f aca="true" t="shared" si="44" ref="F990:F995">F991</f>
        <v>-7600006.33</v>
      </c>
      <c r="G990" s="19">
        <f t="shared" si="38"/>
        <v>17399993.67</v>
      </c>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c r="AH990" s="32"/>
    </row>
    <row r="991" spans="1:34" s="3" customFormat="1" ht="32.25">
      <c r="A991" s="20" t="s">
        <v>595</v>
      </c>
      <c r="B991" s="21" t="s">
        <v>596</v>
      </c>
      <c r="C991" s="26"/>
      <c r="D991" s="26"/>
      <c r="E991" s="47">
        <f t="shared" si="43"/>
        <v>25000000</v>
      </c>
      <c r="F991" s="47">
        <f t="shared" si="44"/>
        <v>-7600006.33</v>
      </c>
      <c r="G991" s="22">
        <f t="shared" si="38"/>
        <v>17399993.67</v>
      </c>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c r="AH991" s="32"/>
    </row>
    <row r="992" spans="1:34" s="3" customFormat="1" ht="15">
      <c r="A992" s="30" t="s">
        <v>674</v>
      </c>
      <c r="B992" s="24" t="s">
        <v>596</v>
      </c>
      <c r="C992" s="26" t="s">
        <v>675</v>
      </c>
      <c r="D992" s="26"/>
      <c r="E992" s="27">
        <f t="shared" si="43"/>
        <v>25000000</v>
      </c>
      <c r="F992" s="27">
        <f t="shared" si="44"/>
        <v>-7600006.33</v>
      </c>
      <c r="G992" s="25">
        <f t="shared" si="38"/>
        <v>17399993.67</v>
      </c>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c r="AH992" s="32"/>
    </row>
    <row r="993" spans="1:34" s="3" customFormat="1" ht="46.5">
      <c r="A993" s="31" t="s">
        <v>597</v>
      </c>
      <c r="B993" s="24" t="s">
        <v>596</v>
      </c>
      <c r="C993" s="26" t="s">
        <v>20</v>
      </c>
      <c r="D993" s="26"/>
      <c r="E993" s="27">
        <f t="shared" si="43"/>
        <v>25000000</v>
      </c>
      <c r="F993" s="27">
        <f t="shared" si="44"/>
        <v>-7600006.33</v>
      </c>
      <c r="G993" s="25">
        <f t="shared" si="38"/>
        <v>17399993.67</v>
      </c>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c r="AH993" s="32"/>
    </row>
    <row r="994" spans="1:34" s="3" customFormat="1" ht="15">
      <c r="A994" s="31" t="s">
        <v>598</v>
      </c>
      <c r="B994" s="24" t="s">
        <v>596</v>
      </c>
      <c r="C994" s="26" t="s">
        <v>599</v>
      </c>
      <c r="D994" s="26"/>
      <c r="E994" s="27">
        <f t="shared" si="43"/>
        <v>25000000</v>
      </c>
      <c r="F994" s="27">
        <f t="shared" si="44"/>
        <v>-7600006.33</v>
      </c>
      <c r="G994" s="25">
        <f t="shared" si="38"/>
        <v>17399993.67</v>
      </c>
      <c r="I994" s="32"/>
      <c r="J994" s="32"/>
      <c r="K994" s="32"/>
      <c r="L994" s="32"/>
      <c r="M994" s="32"/>
      <c r="N994" s="32"/>
      <c r="O994" s="32"/>
      <c r="P994" s="32"/>
      <c r="Q994" s="32"/>
      <c r="R994" s="32"/>
      <c r="S994" s="32"/>
      <c r="T994" s="32"/>
      <c r="U994" s="32"/>
      <c r="V994" s="32"/>
      <c r="W994" s="32"/>
      <c r="X994" s="32"/>
      <c r="Y994" s="32"/>
      <c r="Z994" s="32"/>
      <c r="AA994" s="32"/>
      <c r="AB994" s="32"/>
      <c r="AC994" s="32"/>
      <c r="AD994" s="32"/>
      <c r="AE994" s="32"/>
      <c r="AF994" s="32"/>
      <c r="AG994" s="32"/>
      <c r="AH994" s="32"/>
    </row>
    <row r="995" spans="1:34" s="3" customFormat="1" ht="15">
      <c r="A995" s="31" t="s">
        <v>600</v>
      </c>
      <c r="B995" s="24" t="s">
        <v>596</v>
      </c>
      <c r="C995" s="26" t="s">
        <v>599</v>
      </c>
      <c r="D995" s="26">
        <v>700</v>
      </c>
      <c r="E995" s="27">
        <f t="shared" si="43"/>
        <v>25000000</v>
      </c>
      <c r="F995" s="27">
        <f t="shared" si="44"/>
        <v>-7600006.33</v>
      </c>
      <c r="G995" s="25">
        <f t="shared" si="38"/>
        <v>17399993.67</v>
      </c>
      <c r="I995" s="32"/>
      <c r="J995" s="32"/>
      <c r="K995" s="32"/>
      <c r="L995" s="32"/>
      <c r="M995" s="32"/>
      <c r="N995" s="32"/>
      <c r="O995" s="32"/>
      <c r="P995" s="32"/>
      <c r="Q995" s="32"/>
      <c r="R995" s="32"/>
      <c r="S995" s="32"/>
      <c r="T995" s="32"/>
      <c r="U995" s="32"/>
      <c r="V995" s="32"/>
      <c r="W995" s="32"/>
      <c r="X995" s="32"/>
      <c r="Y995" s="32"/>
      <c r="Z995" s="32"/>
      <c r="AA995" s="32"/>
      <c r="AB995" s="32"/>
      <c r="AC995" s="32"/>
      <c r="AD995" s="32"/>
      <c r="AE995" s="32"/>
      <c r="AF995" s="32"/>
      <c r="AG995" s="32"/>
      <c r="AH995" s="32"/>
    </row>
    <row r="996" spans="1:34" s="3" customFormat="1" ht="15">
      <c r="A996" s="31" t="s">
        <v>601</v>
      </c>
      <c r="B996" s="24" t="s">
        <v>596</v>
      </c>
      <c r="C996" s="26" t="s">
        <v>599</v>
      </c>
      <c r="D996" s="26">
        <v>730</v>
      </c>
      <c r="E996" s="27">
        <v>25000000</v>
      </c>
      <c r="F996" s="27">
        <f>-149377.2-5033369+149377.2+5033369-7600006.33</f>
        <v>-7600006.33</v>
      </c>
      <c r="G996" s="25">
        <f t="shared" si="38"/>
        <v>17399993.67</v>
      </c>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c r="AH996" s="32"/>
    </row>
    <row r="997" spans="1:34" s="3" customFormat="1" ht="46.5">
      <c r="A997" s="102" t="s">
        <v>602</v>
      </c>
      <c r="B997" s="18" t="s">
        <v>603</v>
      </c>
      <c r="C997" s="83"/>
      <c r="D997" s="83"/>
      <c r="E997" s="66">
        <f aca="true" t="shared" si="45" ref="E997:E1002">E998</f>
        <v>32100006</v>
      </c>
      <c r="F997" s="66">
        <f aca="true" t="shared" si="46" ref="F997:F1002">F998</f>
        <v>0</v>
      </c>
      <c r="G997" s="19">
        <f t="shared" si="38"/>
        <v>32100006</v>
      </c>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c r="AH997" s="32"/>
    </row>
    <row r="998" spans="1:34" s="3" customFormat="1" ht="15.75">
      <c r="A998" s="45" t="s">
        <v>604</v>
      </c>
      <c r="B998" s="21" t="s">
        <v>605</v>
      </c>
      <c r="C998" s="46"/>
      <c r="D998" s="46"/>
      <c r="E998" s="47">
        <f t="shared" si="45"/>
        <v>32100006</v>
      </c>
      <c r="F998" s="47">
        <f t="shared" si="46"/>
        <v>0</v>
      </c>
      <c r="G998" s="22">
        <f t="shared" si="38"/>
        <v>32100006</v>
      </c>
      <c r="I998" s="32"/>
      <c r="J998" s="32"/>
      <c r="K998" s="32"/>
      <c r="L998" s="32"/>
      <c r="M998" s="32"/>
      <c r="N998" s="32"/>
      <c r="O998" s="32"/>
      <c r="P998" s="32"/>
      <c r="Q998" s="32"/>
      <c r="R998" s="32"/>
      <c r="S998" s="32"/>
      <c r="T998" s="32"/>
      <c r="U998" s="32"/>
      <c r="V998" s="32"/>
      <c r="W998" s="32"/>
      <c r="X998" s="32"/>
      <c r="Y998" s="32"/>
      <c r="Z998" s="32"/>
      <c r="AA998" s="32"/>
      <c r="AB998" s="32"/>
      <c r="AC998" s="32"/>
      <c r="AD998" s="32"/>
      <c r="AE998" s="32"/>
      <c r="AF998" s="32"/>
      <c r="AG998" s="32"/>
      <c r="AH998" s="32"/>
    </row>
    <row r="999" spans="1:34" s="3" customFormat="1" ht="15">
      <c r="A999" s="30" t="s">
        <v>674</v>
      </c>
      <c r="B999" s="24" t="s">
        <v>605</v>
      </c>
      <c r="C999" s="26" t="s">
        <v>675</v>
      </c>
      <c r="D999" s="26"/>
      <c r="E999" s="27">
        <f t="shared" si="45"/>
        <v>32100006</v>
      </c>
      <c r="F999" s="27">
        <f t="shared" si="46"/>
        <v>0</v>
      </c>
      <c r="G999" s="25">
        <f t="shared" si="38"/>
        <v>32100006</v>
      </c>
      <c r="I999" s="32"/>
      <c r="J999" s="32"/>
      <c r="K999" s="32"/>
      <c r="L999" s="32"/>
      <c r="M999" s="32"/>
      <c r="N999" s="32"/>
      <c r="O999" s="32"/>
      <c r="P999" s="32"/>
      <c r="Q999" s="32"/>
      <c r="R999" s="32"/>
      <c r="S999" s="32"/>
      <c r="T999" s="32"/>
      <c r="U999" s="32"/>
      <c r="V999" s="32"/>
      <c r="W999" s="32"/>
      <c r="X999" s="32"/>
      <c r="Y999" s="32"/>
      <c r="Z999" s="32"/>
      <c r="AA999" s="32"/>
      <c r="AB999" s="32"/>
      <c r="AC999" s="32"/>
      <c r="AD999" s="32"/>
      <c r="AE999" s="32"/>
      <c r="AF999" s="32"/>
      <c r="AG999" s="32"/>
      <c r="AH999" s="32"/>
    </row>
    <row r="1000" spans="1:34" s="3" customFormat="1" ht="46.5">
      <c r="A1000" s="28" t="s">
        <v>606</v>
      </c>
      <c r="B1000" s="24" t="s">
        <v>605</v>
      </c>
      <c r="C1000" s="26" t="s">
        <v>607</v>
      </c>
      <c r="D1000" s="26"/>
      <c r="E1000" s="27">
        <f t="shared" si="45"/>
        <v>32100006</v>
      </c>
      <c r="F1000" s="27">
        <f t="shared" si="46"/>
        <v>0</v>
      </c>
      <c r="G1000" s="25">
        <f t="shared" si="38"/>
        <v>32100006</v>
      </c>
      <c r="I1000" s="32"/>
      <c r="J1000" s="32"/>
      <c r="K1000" s="32"/>
      <c r="L1000" s="32"/>
      <c r="M1000" s="32"/>
      <c r="N1000" s="32"/>
      <c r="O1000" s="32"/>
      <c r="P1000" s="32"/>
      <c r="Q1000" s="32"/>
      <c r="R1000" s="32"/>
      <c r="S1000" s="32"/>
      <c r="T1000" s="32"/>
      <c r="U1000" s="32"/>
      <c r="V1000" s="32"/>
      <c r="W1000" s="32"/>
      <c r="X1000" s="32"/>
      <c r="Y1000" s="32"/>
      <c r="Z1000" s="32"/>
      <c r="AA1000" s="32"/>
      <c r="AB1000" s="32"/>
      <c r="AC1000" s="32"/>
      <c r="AD1000" s="32"/>
      <c r="AE1000" s="32"/>
      <c r="AF1000" s="32"/>
      <c r="AG1000" s="32"/>
      <c r="AH1000" s="32"/>
    </row>
    <row r="1001" spans="1:34" s="3" customFormat="1" ht="46.5">
      <c r="A1001" s="28" t="s">
        <v>608</v>
      </c>
      <c r="B1001" s="24" t="s">
        <v>605</v>
      </c>
      <c r="C1001" s="26" t="s">
        <v>609</v>
      </c>
      <c r="D1001" s="26"/>
      <c r="E1001" s="27">
        <f t="shared" si="45"/>
        <v>32100006</v>
      </c>
      <c r="F1001" s="27">
        <f t="shared" si="46"/>
        <v>0</v>
      </c>
      <c r="G1001" s="25">
        <f t="shared" si="38"/>
        <v>32100006</v>
      </c>
      <c r="I1001" s="32"/>
      <c r="J1001" s="32"/>
      <c r="K1001" s="32"/>
      <c r="L1001" s="32"/>
      <c r="M1001" s="32"/>
      <c r="N1001" s="32"/>
      <c r="O1001" s="32"/>
      <c r="P1001" s="32"/>
      <c r="Q1001" s="32"/>
      <c r="R1001" s="32"/>
      <c r="S1001" s="32"/>
      <c r="T1001" s="32"/>
      <c r="U1001" s="32"/>
      <c r="V1001" s="32"/>
      <c r="W1001" s="32"/>
      <c r="X1001" s="32"/>
      <c r="Y1001" s="32"/>
      <c r="Z1001" s="32"/>
      <c r="AA1001" s="32"/>
      <c r="AB1001" s="32"/>
      <c r="AC1001" s="32"/>
      <c r="AD1001" s="32"/>
      <c r="AE1001" s="32"/>
      <c r="AF1001" s="32"/>
      <c r="AG1001" s="32"/>
      <c r="AH1001" s="32"/>
    </row>
    <row r="1002" spans="1:34" s="3" customFormat="1" ht="15">
      <c r="A1002" s="28" t="s">
        <v>610</v>
      </c>
      <c r="B1002" s="24" t="s">
        <v>605</v>
      </c>
      <c r="C1002" s="26" t="s">
        <v>609</v>
      </c>
      <c r="D1002" s="26">
        <v>500</v>
      </c>
      <c r="E1002" s="27">
        <f t="shared" si="45"/>
        <v>32100006</v>
      </c>
      <c r="F1002" s="27">
        <f t="shared" si="46"/>
        <v>0</v>
      </c>
      <c r="G1002" s="25">
        <f t="shared" si="38"/>
        <v>32100006</v>
      </c>
      <c r="I1002" s="32"/>
      <c r="J1002" s="32"/>
      <c r="K1002" s="32"/>
      <c r="L1002" s="32"/>
      <c r="M1002" s="32"/>
      <c r="N1002" s="32"/>
      <c r="O1002" s="32"/>
      <c r="P1002" s="32"/>
      <c r="Q1002" s="32"/>
      <c r="R1002" s="32"/>
      <c r="S1002" s="32"/>
      <c r="T1002" s="32"/>
      <c r="U1002" s="32"/>
      <c r="V1002" s="32"/>
      <c r="W1002" s="32"/>
      <c r="X1002" s="32"/>
      <c r="Y1002" s="32"/>
      <c r="Z1002" s="32"/>
      <c r="AA1002" s="32"/>
      <c r="AB1002" s="32"/>
      <c r="AC1002" s="32"/>
      <c r="AD1002" s="32"/>
      <c r="AE1002" s="32"/>
      <c r="AF1002" s="32"/>
      <c r="AG1002" s="32"/>
      <c r="AH1002" s="32"/>
    </row>
    <row r="1003" spans="1:34" s="3" customFormat="1" ht="15">
      <c r="A1003" s="28" t="s">
        <v>611</v>
      </c>
      <c r="B1003" s="24" t="s">
        <v>605</v>
      </c>
      <c r="C1003" s="26" t="s">
        <v>609</v>
      </c>
      <c r="D1003" s="26">
        <v>540</v>
      </c>
      <c r="E1003" s="27">
        <v>32100006</v>
      </c>
      <c r="F1003" s="27">
        <v>0</v>
      </c>
      <c r="G1003" s="25">
        <f t="shared" si="38"/>
        <v>32100006</v>
      </c>
      <c r="I1003" s="32"/>
      <c r="J1003" s="32"/>
      <c r="K1003" s="32"/>
      <c r="L1003" s="32"/>
      <c r="M1003" s="32"/>
      <c r="N1003" s="32"/>
      <c r="O1003" s="32"/>
      <c r="P1003" s="32"/>
      <c r="Q1003" s="32"/>
      <c r="R1003" s="32"/>
      <c r="S1003" s="32"/>
      <c r="T1003" s="32"/>
      <c r="U1003" s="32"/>
      <c r="V1003" s="32"/>
      <c r="W1003" s="32"/>
      <c r="X1003" s="32"/>
      <c r="Y1003" s="32"/>
      <c r="Z1003" s="32"/>
      <c r="AA1003" s="32"/>
      <c r="AB1003" s="32"/>
      <c r="AC1003" s="32"/>
      <c r="AD1003" s="32"/>
      <c r="AE1003" s="32"/>
      <c r="AF1003" s="32"/>
      <c r="AG1003" s="32"/>
      <c r="AH1003" s="32"/>
    </row>
    <row r="1004" spans="1:7" ht="15.75">
      <c r="A1004" s="103" t="s">
        <v>612</v>
      </c>
      <c r="B1004" s="104"/>
      <c r="C1004" s="105"/>
      <c r="D1004" s="104"/>
      <c r="E1004" s="106">
        <f>SUM(E7,E205,E230,E344,E503,E656,E742,E948,E977,E990,E997)</f>
        <v>6087723927.299999</v>
      </c>
      <c r="F1004" s="106">
        <f>SUM(F7,F205,F230,F344,F503,F656,F742,F948,F977,F990,F997)</f>
        <v>211665896.11999997</v>
      </c>
      <c r="G1004" s="19">
        <f t="shared" si="38"/>
        <v>6299389823.419999</v>
      </c>
    </row>
    <row r="1010" spans="8:34" s="107" customFormat="1" ht="18">
      <c r="H1010" s="108"/>
      <c r="I1010" s="109"/>
      <c r="J1010" s="109"/>
      <c r="K1010" s="109"/>
      <c r="L1010" s="109"/>
      <c r="M1010" s="109"/>
      <c r="N1010" s="109"/>
      <c r="O1010" s="109"/>
      <c r="P1010" s="109"/>
      <c r="Q1010" s="109"/>
      <c r="R1010" s="109"/>
      <c r="S1010" s="109"/>
      <c r="T1010" s="109"/>
      <c r="U1010" s="109"/>
      <c r="V1010" s="109"/>
      <c r="W1010" s="109"/>
      <c r="X1010" s="109"/>
      <c r="Y1010" s="109"/>
      <c r="Z1010" s="109"/>
      <c r="AA1010" s="109"/>
      <c r="AB1010" s="109"/>
      <c r="AC1010" s="109"/>
      <c r="AD1010" s="109"/>
      <c r="AE1010" s="109"/>
      <c r="AF1010" s="109"/>
      <c r="AG1010" s="109"/>
      <c r="AH1010" s="109"/>
    </row>
  </sheetData>
  <sheetProtection selectLockedCells="1" selectUnlockedCells="1"/>
  <mergeCells count="3">
    <mergeCell ref="E1:G1"/>
    <mergeCell ref="E2:G2"/>
    <mergeCell ref="A4:G4"/>
  </mergeCells>
  <printOptions/>
  <pageMargins left="0.8" right="0.4097222222222222" top="0.5298611111111111" bottom="0.40902777777777777" header="0.5118055555555555" footer="0.1597222222222222"/>
  <pageSetup firstPageNumber="4" useFirstPageNumber="1" fitToHeight="0" fitToWidth="1" horizontalDpi="300" verticalDpi="300" orientation="portrait" paperSize="9" scale="57" r:id="rId1"/>
  <headerFooter alignWithMargins="0">
    <oddFooter>&amp;C&amp;"Times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cp:lastModifiedBy>
  <cp:lastPrinted>2021-09-13T07:03:36Z</cp:lastPrinted>
  <dcterms:modified xsi:type="dcterms:W3CDTF">2021-09-14T08:52:02Z</dcterms:modified>
  <cp:category/>
  <cp:version/>
  <cp:contentType/>
  <cp:contentStatus/>
</cp:coreProperties>
</file>