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огноз расходов 2023" sheetId="1" r:id="rId1"/>
  </sheets>
  <definedNames>
    <definedName name="_Date_">#REF!</definedName>
    <definedName name="_Otchet_Period_Source__AT_ObjectName">#REF!</definedName>
    <definedName name="_Period_">#REF!</definedName>
    <definedName name="Excel_BuiltIn_Print_Area" localSheetId="0">'Прогноз расходов 2023'!$A$3:$C$799</definedName>
    <definedName name="Excel_BuiltIn_Print_Titles" localSheetId="0">'Прогноз расходов 2023'!$6:$6</definedName>
    <definedName name="_xlnm.Print_Titles" localSheetId="0">'Прогноз расходов 2023'!$6:$6</definedName>
    <definedName name="_xlnm.Print_Area" localSheetId="0">'Прогноз расходов 2023'!$A$1:$F$799</definedName>
  </definedNames>
  <calcPr fullCalcOnLoad="1"/>
</workbook>
</file>

<file path=xl/sharedStrings.xml><?xml version="1.0" encoding="utf-8"?>
<sst xmlns="http://schemas.openxmlformats.org/spreadsheetml/2006/main" count="1683" uniqueCount="549">
  <si>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</si>
  <si>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</si>
  <si>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</si>
  <si>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</si>
  <si>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</si>
  <si>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</si>
  <si>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</si>
  <si>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</si>
  <si>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</si>
  <si>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</si>
  <si>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</si>
  <si>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</si>
  <si>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</si>
  <si>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</si>
  <si>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</si>
  <si>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</si>
  <si>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</si>
  <si>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</si>
  <si>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</si>
  <si>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 за счет средств областного бюджета</t>
  </si>
  <si>
    <t>01 2 04 00150</t>
  </si>
  <si>
    <t>Укрепление материально-технической базы общеобразовательных учреждений (за счет средств иных межбюджетных трансфертов на поощрение муниципальных образований Калужской области - победителей регионального этапа конкурса "Лучшая муниципальная практика")</t>
  </si>
  <si>
    <t>01 2 04 00560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</si>
  <si>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</si>
  <si>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</si>
  <si>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</si>
  <si>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</si>
  <si>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</si>
  <si>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</si>
  <si>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Реализация школьных инициатив</t>
  </si>
  <si>
    <t>01 2 11 S0190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</si>
  <si>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</si>
  <si>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</si>
  <si>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</si>
  <si>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</si>
  <si>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</si>
  <si>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</si>
  <si>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</si>
  <si>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</si>
  <si>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</si>
  <si>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01 3 02 16216</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</si>
  <si>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</si>
  <si>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01 3 02 16217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</si>
  <si>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</si>
  <si>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</si>
  <si>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</si>
  <si>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</si>
  <si>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Субсидии автономным учреждениям</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</si>
  <si>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</si>
  <si>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</si>
  <si>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</si>
  <si>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</si>
  <si>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</si>
  <si>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</si>
  <si>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</si>
  <si>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</si>
  <si>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</si>
  <si>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</si>
  <si>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</si>
  <si>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</si>
  <si>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</si>
  <si>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</si>
  <si>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</si>
  <si>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</si>
  <si>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</si>
  <si>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</si>
  <si>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</si>
  <si>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</si>
  <si>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</si>
  <si>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</si>
  <si>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</si>
  <si>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</si>
  <si>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</si>
  <si>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</si>
  <si>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</si>
  <si>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</si>
  <si>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</si>
  <si>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</si>
  <si>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</si>
  <si>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</si>
  <si>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</si>
  <si>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</si>
  <si>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</si>
  <si>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</si>
  <si>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</si>
  <si>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</si>
  <si>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</si>
  <si>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</si>
  <si>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</si>
  <si>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</si>
  <si>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</si>
  <si>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</si>
  <si>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</si>
  <si>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</si>
  <si>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</si>
  <si>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</si>
  <si>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</si>
  <si>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</si>
  <si>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</si>
  <si>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</si>
  <si>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</si>
  <si>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</si>
  <si>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</si>
  <si>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</si>
  <si>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</si>
  <si>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</si>
  <si>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</si>
  <si>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</si>
  <si>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</si>
  <si>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</si>
  <si>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</si>
  <si>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</si>
  <si>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</si>
  <si>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</si>
  <si>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</si>
  <si>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</si>
  <si>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</si>
  <si>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</si>
  <si>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</si>
  <si>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</si>
  <si>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</si>
  <si>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</si>
  <si>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</si>
  <si>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</si>
  <si>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</si>
  <si>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</si>
  <si>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</si>
  <si>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</si>
  <si>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</si>
  <si>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Создание Школы креативных индустрий </t>
  </si>
  <si>
    <t>02 4 03 L3530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</si>
  <si>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</si>
  <si>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</si>
  <si>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</si>
  <si>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</si>
  <si>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</si>
  <si>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</si>
  <si>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Выплата компенсации работникам муниципальных организаций культуры за наем (поднаем) жилых помещений</t>
  </si>
  <si>
    <t>02 5 03 10000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</si>
  <si>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</si>
  <si>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</si>
  <si>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</si>
  <si>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</si>
  <si>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</si>
  <si>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</si>
  <si>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</si>
  <si>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</si>
  <si>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</si>
  <si>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</si>
  <si>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</si>
  <si>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</si>
  <si>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</si>
  <si>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</si>
  <si>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</si>
  <si>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</si>
  <si>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</si>
  <si>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04 0 05 00150</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</si>
  <si>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</si>
  <si>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</si>
  <si>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</si>
  <si>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</si>
  <si>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</si>
  <si>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</si>
  <si>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</si>
  <si>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</si>
  <si>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</si>
  <si>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</si>
  <si>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</si>
  <si>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</si>
  <si>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</si>
  <si>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</si>
  <si>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</si>
  <si>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</si>
  <si>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</si>
  <si>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</si>
  <si>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</si>
  <si>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</si>
  <si>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</si>
  <si>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</si>
  <si>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</si>
  <si>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</si>
  <si>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</si>
  <si>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</si>
  <si>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</si>
  <si>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</si>
  <si>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</si>
  <si>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</si>
  <si>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</si>
  <si>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</si>
  <si>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</si>
  <si>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</si>
  <si>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</si>
  <si>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</si>
  <si>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</si>
  <si>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</si>
  <si>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</si>
  <si>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</si>
  <si>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</si>
  <si>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</si>
  <si>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</si>
  <si>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</si>
  <si>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</si>
  <si>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</si>
  <si>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</si>
  <si>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</si>
  <si>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</si>
  <si>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</si>
  <si>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</si>
  <si>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</si>
  <si>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</si>
  <si>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</si>
  <si>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</si>
  <si>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</si>
  <si>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</si>
  <si>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</si>
  <si>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</si>
  <si>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Капитальные вложения в объекты государственной (муниципальной) собственности</t>
  </si>
  <si>
    <t>Бюджетные инвестиции</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</si>
  <si>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</si>
  <si>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</si>
  <si>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</si>
  <si>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</si>
  <si>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</si>
  <si>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</si>
  <si>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</si>
  <si>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</si>
  <si>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</si>
  <si>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</si>
  <si>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</si>
  <si>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</si>
  <si>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</si>
  <si>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</si>
  <si>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</si>
  <si>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</si>
  <si>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</si>
  <si>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</si>
  <si>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</si>
  <si>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</si>
  <si>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</si>
  <si>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</si>
  <si>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</si>
  <si>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</si>
  <si>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</si>
  <si>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</si>
  <si>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</si>
  <si>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</si>
  <si>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</si>
  <si>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06 0 03 00270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</si>
  <si>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</si>
  <si>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</si>
  <si>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</si>
  <si>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</si>
  <si>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</si>
  <si>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</si>
  <si>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</si>
  <si>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</si>
  <si>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(за счет средств субсидии на осуществление дорожной деятельности)</t>
  </si>
  <si>
    <t>06 0 07 S5000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</si>
  <si>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</si>
  <si>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</si>
  <si>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 за счет средств федерального бюджета на опережающее финансирование</t>
  </si>
  <si>
    <t>06 0 F1 М0211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</si>
  <si>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</si>
  <si>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</si>
  <si>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 xml:space="preserve">Муниципальная программа "Содержание и обслуживание жилищного фонда муниципального образования "Город Обнинск" </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</si>
  <si>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</si>
  <si>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</si>
  <si>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</si>
  <si>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</si>
  <si>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</si>
  <si>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</si>
  <si>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</si>
  <si>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</si>
  <si>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</si>
  <si>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</si>
  <si>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</si>
  <si>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</si>
  <si>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</si>
  <si>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</si>
  <si>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</si>
  <si>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</si>
  <si>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</si>
  <si>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</si>
  <si>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</si>
  <si>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Разработка сводного топливно-энергетического баланса муниципального образования "Город Обнинск"</t>
  </si>
  <si>
    <t>08 0 05 10000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</si>
  <si>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</si>
  <si>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</si>
  <si>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</si>
  <si>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</si>
  <si>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</si>
  <si>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</si>
  <si>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</si>
  <si>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</si>
  <si>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</si>
  <si>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</si>
  <si>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</si>
  <si>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</si>
  <si>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</si>
  <si>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</si>
  <si>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</si>
  <si>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</si>
  <si>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</si>
  <si>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</si>
  <si>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</si>
  <si>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</si>
  <si>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</si>
  <si>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</si>
  <si>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</si>
  <si>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</si>
  <si>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Благоустройство общественной территории в Зоне 2 общественного центра города</t>
  </si>
  <si>
    <t>09 4 03 10000</t>
  </si>
  <si>
    <t>Создание инженерной и инновационной инфраструктуры в Зоне 2 общественного центра города</t>
  </si>
  <si>
    <t>09 4 04 10000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</si>
  <si>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</si>
  <si>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</si>
  <si>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</si>
  <si>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</si>
  <si>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</si>
  <si>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</si>
  <si>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</si>
  <si>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</si>
  <si>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</si>
  <si>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</si>
  <si>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</si>
  <si>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Осуществление функций МБУ "Управляющая компания систем коммунальной инфраструктуры"</t>
  </si>
  <si>
    <t>10 0 16 10000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</si>
  <si>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</si>
  <si>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</si>
  <si>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</si>
  <si>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</si>
  <si>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</si>
  <si>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</si>
  <si>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</si>
  <si>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</si>
  <si>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</si>
  <si>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</si>
  <si>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</si>
  <si>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</si>
  <si>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</si>
  <si>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</si>
  <si>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</si>
  <si>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</si>
  <si>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</si>
  <si>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</si>
  <si>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</si>
  <si>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</si>
  <si>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</si>
  <si>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</si>
  <si>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</si>
  <si>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</si>
  <si>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</si>
  <si>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</si>
  <si>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</si>
  <si>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</si>
  <si>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</si>
  <si>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</si>
  <si>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</si>
  <si>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</si>
  <si>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</si>
  <si>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</si>
  <si>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</si>
  <si>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</si>
  <si>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</si>
  <si>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</si>
  <si>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</si>
  <si>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</si>
  <si>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Разработка стратегии развития города как наукограда Российской Федерации</t>
  </si>
  <si>
    <t>12 2 07 10000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</si>
  <si>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</si>
  <si>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</si>
  <si>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</si>
  <si>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</si>
  <si>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</si>
  <si>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</si>
  <si>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</si>
  <si>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</si>
  <si>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</si>
  <si>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</si>
  <si>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</si>
  <si>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</si>
  <si>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</si>
  <si>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</si>
  <si>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</si>
  <si>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</si>
  <si>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</si>
  <si>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</si>
  <si>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</si>
  <si>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</si>
  <si>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</si>
  <si>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</si>
  <si>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</si>
  <si>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</si>
  <si>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</si>
  <si>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</si>
  <si>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</si>
  <si>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</si>
  <si>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</si>
  <si>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</si>
  <si>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</si>
  <si>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реализации федерального проекта "Формирование комфортной городской среды" национального проекта "Жилье и городская среда")</t>
  </si>
  <si>
    <t>15 0 F2 54240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</si>
  <si>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</si>
  <si>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</si>
  <si>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</si>
  <si>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</si>
  <si>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</si>
  <si>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</si>
  <si>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</si>
  <si>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</si>
  <si>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</si>
  <si>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</si>
  <si>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</si>
  <si>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</si>
  <si>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</si>
  <si>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</si>
  <si>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</si>
  <si>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</si>
  <si>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</si>
  <si>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</si>
  <si>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</si>
  <si>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</si>
  <si>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</si>
  <si>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</si>
  <si>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</si>
  <si>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</si>
  <si>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</si>
  <si>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</si>
  <si>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</si>
  <si>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</si>
  <si>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</si>
  <si>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</si>
  <si>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</si>
  <si>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</si>
  <si>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</si>
  <si>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</si>
  <si>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</si>
  <si>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</si>
  <si>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</si>
  <si>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</si>
  <si>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</si>
  <si>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</si>
  <si>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</si>
  <si>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</si>
  <si>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</si>
  <si>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</si>
  <si>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Расходы за счет резервного фонда Администрации города Обнинска</t>
  </si>
  <si>
    <t>70 2 00 12003</t>
  </si>
  <si>
    <t>300</t>
  </si>
  <si>
    <t>360</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</si>
  <si>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</si>
  <si>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</si>
  <si>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</si>
  <si>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</si>
  <si>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</si>
  <si>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</si>
  <si>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</si>
  <si>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</si>
  <si>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</si>
  <si>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</si>
  <si>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</si>
  <si>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</si>
  <si>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</si>
  <si>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</si>
  <si>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</si>
  <si>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</si>
  <si>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</si>
  <si>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</si>
  <si>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</si>
  <si>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</si>
  <si>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</si>
  <si>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70 3 00 13010</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</si>
  <si>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</si>
  <si>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</si>
  <si>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Изъятие земельных участков, находящихся в частной собственности, для муниципальных нужд</t>
  </si>
  <si>
    <t>70 3 00 13014</t>
  </si>
  <si>
    <t>Реализация инфраструктурного проекта за счет средств бюджета города</t>
  </si>
  <si>
    <t>70 3 00 13016</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</si>
  <si>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</si>
  <si>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70 3 00 13017</t>
  </si>
  <si>
    <t xml:space="preserve">Ремонт помещений, находящихся в муниципальной собственности </t>
  </si>
  <si>
    <t>70 3 00 13018</t>
  </si>
  <si>
    <t>Реализация инициативных проектов</t>
  </si>
  <si>
    <t>70 3 00 13100</t>
  </si>
  <si>
    <t>Расходы непрограммного характера за счет средств межбюджетных трансфертов, не включенные в другие направления расходов</t>
  </si>
  <si>
    <t>70 4 00 00000</t>
  </si>
  <si>
    <t>Расходы на участие в мероприятиях по профилактике терроризма и экстремизма</t>
  </si>
  <si>
    <t>70 4 00 00152</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</si>
  <si>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</si>
  <si>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</si>
  <si>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</si>
  <si>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</si>
  <si>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600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</si>
  <si>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</si>
  <si>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</si>
  <si>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</si>
  <si>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</si>
  <si>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</si>
  <si>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Реализация инфраструктурного проекта</t>
  </si>
  <si>
    <t>70 4 00 98110</t>
  </si>
  <si>
    <t>Реализация инфраструктурного проекта (софинансирование за счет средств местного бюджета)</t>
  </si>
  <si>
    <t>70 4 00 S8110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</si>
  <si>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</si>
  <si>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</si>
  <si>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</si>
  <si>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</si>
  <si>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</si>
  <si>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</si>
  <si>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</si>
  <si>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</si>
  <si>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</si>
  <si>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</si>
  <si>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</si>
  <si>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</si>
  <si>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</si>
  <si>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</si>
  <si>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</si>
  <si>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</si>
  <si>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</si>
  <si>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</si>
  <si>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</si>
  <si>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</si>
  <si>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</si>
  <si>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</si>
  <si>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</si>
  <si>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</si>
  <si>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</si>
  <si>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 </t>
  </si>
  <si>
    <t>(рублей)</t>
  </si>
  <si>
    <t>Наименование</t>
  </si>
  <si>
    <t>Целевая статья</t>
  </si>
  <si>
    <t>Вид расхо-дов</t>
  </si>
  <si>
    <t>Утверждено на 2023 год</t>
  </si>
  <si>
    <t>Изменения (увеличение (+), уменьшение (-))</t>
  </si>
  <si>
    <t>Сумма на 2023 год с учетом изменений</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</si>
  <si>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</si>
  <si>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</si>
  <si>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</si>
  <si>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</si>
  <si>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</si>
  <si>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</si>
  <si>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</si>
  <si>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</si>
  <si>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</si>
  <si>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</si>
  <si>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</si>
  <si>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</si>
  <si>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 xml:space="preserve">Приложение № 2 к решению Обнинского городского Собрания "О внесении изменений в решение Обнинского   городского    Собрания   от    13.12.2022 № 01-34 "О бюджете города Обнинска на 2023 год и плановый период 2024 и 2025 годов" </t>
  </si>
  <si>
    <t>от 26.09.2023 № 04-43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</si>
</sst>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7">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b/>
      <sz val="14"/>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sz val="12.5"/>
      <name val="Times New Roman"/>
      <family val="1"/>
    </font>
    <font>
      <i/>
      <sz val="12"/>
      <name val="Times New Roman"/>
      <family val="1"/>
    </font>
    <font>
      <b/>
      <sz val="12"/>
      <color indexed="8"/>
      <name val="Times New Roman"/>
      <family val="1"/>
    </font>
    <font>
      <b/>
      <i/>
      <sz val="10"/>
      <name val="Arial Cyr"/>
      <family val="0"/>
    </font>
    <font>
      <b/>
      <sz val="12.5"/>
      <name val="Times New Roman"/>
      <family val="1"/>
    </font>
    <font>
      <b/>
      <i/>
      <sz val="10"/>
      <name val="Times New Roman"/>
      <family val="1"/>
    </font>
    <font>
      <sz val="12.5"/>
      <name val="Arial Cyr"/>
      <family val="0"/>
    </font>
    <font>
      <sz val="12.5"/>
      <color indexed="8"/>
      <name val="Times New Roman"/>
      <family val="1"/>
    </font>
    <font>
      <b/>
      <i/>
      <sz val="12.5"/>
      <name val="Times New Roman"/>
      <family val="1"/>
    </font>
    <font>
      <sz val="10"/>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2" fillId="44" borderId="22" applyNumberFormat="0" applyAlignment="0" applyProtection="0"/>
    <xf numFmtId="0" fontId="53" fillId="45" borderId="23" applyNumberFormat="0" applyAlignment="0" applyProtection="0"/>
    <xf numFmtId="0" fontId="54"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55" fillId="0" borderId="24" applyNumberFormat="0" applyFill="0" applyAlignment="0" applyProtection="0"/>
    <xf numFmtId="0" fontId="56" fillId="0" borderId="25" applyNumberFormat="0" applyFill="0" applyAlignment="0" applyProtection="0"/>
    <xf numFmtId="0" fontId="57" fillId="0" borderId="26" applyNumberFormat="0" applyFill="0" applyAlignment="0" applyProtection="0"/>
    <xf numFmtId="0" fontId="57" fillId="0" borderId="0" applyNumberFormat="0" applyFill="0" applyBorder="0" applyAlignment="0" applyProtection="0"/>
    <xf numFmtId="0" fontId="58" fillId="0" borderId="27" applyNumberFormat="0" applyFill="0" applyAlignment="0" applyProtection="0"/>
    <xf numFmtId="0" fontId="59" fillId="46" borderId="28" applyNumberFormat="0" applyAlignment="0" applyProtection="0"/>
    <xf numFmtId="0" fontId="60" fillId="0" borderId="0" applyNumberFormat="0" applyFill="0" applyBorder="0" applyAlignment="0" applyProtection="0"/>
    <xf numFmtId="0" fontId="61" fillId="47" borderId="0" applyNumberFormat="0" applyBorder="0" applyAlignment="0" applyProtection="0"/>
    <xf numFmtId="0" fontId="0" fillId="34" borderId="0">
      <alignment/>
      <protection/>
    </xf>
    <xf numFmtId="0" fontId="1" fillId="34" borderId="0">
      <alignment/>
      <protection/>
    </xf>
    <xf numFmtId="0" fontId="62" fillId="48" borderId="0" applyNumberFormat="0" applyBorder="0" applyAlignment="0" applyProtection="0"/>
    <xf numFmtId="0" fontId="63"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4" fillId="0" borderId="30" applyNumberFormat="0" applyFill="0" applyAlignment="0" applyProtection="0"/>
    <xf numFmtId="0" fontId="65"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6" fillId="50" borderId="0" applyNumberFormat="0" applyBorder="0" applyAlignment="0" applyProtection="0"/>
  </cellStyleXfs>
  <cellXfs count="67">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horizontal="left" wrapText="1"/>
    </xf>
    <xf numFmtId="0" fontId="26" fillId="0" borderId="0" xfId="0" applyFont="1" applyFill="1" applyBorder="1" applyAlignment="1">
      <alignment wrapText="1"/>
    </xf>
    <xf numFmtId="49" fontId="29"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1" fillId="0" borderId="0" xfId="0" applyFont="1" applyFill="1" applyAlignment="1">
      <alignment horizontal="left"/>
    </xf>
    <xf numFmtId="0" fontId="29" fillId="0" borderId="11" xfId="0" applyFont="1" applyFill="1" applyBorder="1" applyAlignment="1">
      <alignment horizontal="left" wrapText="1"/>
    </xf>
    <xf numFmtId="0" fontId="29" fillId="0" borderId="11" xfId="0" applyFont="1" applyFill="1" applyBorder="1" applyAlignment="1">
      <alignment horizontal="center" wrapText="1"/>
    </xf>
    <xf numFmtId="0" fontId="26" fillId="0" borderId="11" xfId="0" applyFont="1" applyFill="1" applyBorder="1" applyAlignment="1">
      <alignment wrapText="1"/>
    </xf>
    <xf numFmtId="0" fontId="26" fillId="0" borderId="11" xfId="0" applyFont="1" applyFill="1" applyBorder="1" applyAlignment="1">
      <alignment horizontal="center" wrapText="1"/>
    </xf>
    <xf numFmtId="0" fontId="26" fillId="34" borderId="11" xfId="0" applyFont="1" applyFill="1" applyBorder="1" applyAlignment="1">
      <alignment wrapText="1"/>
    </xf>
    <xf numFmtId="0" fontId="26" fillId="34" borderId="11" xfId="0" applyFont="1" applyFill="1" applyBorder="1" applyAlignment="1">
      <alignment horizontal="center" wrapText="1"/>
    </xf>
    <xf numFmtId="0" fontId="26" fillId="34" borderId="11" xfId="0" applyFont="1" applyFill="1" applyBorder="1" applyAlignment="1">
      <alignment horizontal="left" wrapText="1"/>
    </xf>
    <xf numFmtId="0" fontId="26" fillId="0" borderId="11" xfId="0" applyFont="1" applyFill="1" applyBorder="1" applyAlignment="1">
      <alignment horizontal="left" wrapText="1"/>
    </xf>
    <xf numFmtId="0" fontId="26" fillId="34" borderId="11" xfId="0" applyNumberFormat="1" applyFont="1" applyFill="1" applyBorder="1" applyAlignment="1">
      <alignment horizontal="left" wrapText="1"/>
    </xf>
    <xf numFmtId="0" fontId="32" fillId="0" borderId="11" xfId="0" applyFont="1" applyFill="1" applyBorder="1" applyAlignment="1">
      <alignment horizontal="left" wrapText="1"/>
    </xf>
    <xf numFmtId="0" fontId="32" fillId="34" borderId="11" xfId="0" applyFont="1" applyFill="1" applyBorder="1" applyAlignment="1">
      <alignment horizontal="left" wrapText="1"/>
    </xf>
    <xf numFmtId="49" fontId="26" fillId="0" borderId="11" xfId="0" applyNumberFormat="1" applyFont="1" applyFill="1" applyBorder="1" applyAlignment="1">
      <alignment horizontal="left" wrapText="1"/>
    </xf>
    <xf numFmtId="49" fontId="26" fillId="0" borderId="11" xfId="0" applyNumberFormat="1" applyFont="1" applyFill="1" applyBorder="1" applyAlignment="1">
      <alignment horizontal="center" wrapText="1"/>
    </xf>
    <xf numFmtId="49" fontId="26" fillId="34" borderId="11" xfId="0" applyNumberFormat="1" applyFont="1" applyFill="1" applyBorder="1" applyAlignment="1">
      <alignment horizontal="center" wrapText="1"/>
    </xf>
    <xf numFmtId="0" fontId="32" fillId="34" borderId="11" xfId="110" applyNumberFormat="1" applyFont="1" applyFill="1" applyBorder="1" applyProtection="1">
      <alignment vertical="top" wrapText="1"/>
      <protection/>
    </xf>
    <xf numFmtId="4" fontId="33" fillId="0" borderId="11" xfId="0" applyNumberFormat="1" applyFont="1" applyFill="1" applyBorder="1" applyAlignment="1">
      <alignment horizontal="right" wrapText="1"/>
    </xf>
    <xf numFmtId="4" fontId="33" fillId="0" borderId="11" xfId="0" applyNumberFormat="1" applyFont="1" applyFill="1" applyBorder="1" applyAlignment="1">
      <alignment horizontal="right"/>
    </xf>
    <xf numFmtId="0" fontId="32" fillId="0" borderId="11" xfId="130" applyFont="1" applyFill="1" applyBorder="1" applyAlignment="1">
      <alignment vertical="top" wrapText="1"/>
      <protection/>
    </xf>
    <xf numFmtId="0" fontId="26" fillId="0" borderId="11" xfId="0" applyFont="1" applyFill="1" applyBorder="1" applyAlignment="1">
      <alignment horizontal="justify" wrapText="1"/>
    </xf>
    <xf numFmtId="49" fontId="26" fillId="34" borderId="11" xfId="0" applyNumberFormat="1" applyFont="1" applyFill="1" applyBorder="1" applyAlignment="1">
      <alignment horizontal="left" wrapText="1"/>
    </xf>
    <xf numFmtId="49" fontId="30" fillId="0" borderId="11" xfId="0" applyNumberFormat="1" applyFont="1" applyFill="1" applyBorder="1" applyAlignment="1">
      <alignment horizontal="center" wrapText="1"/>
    </xf>
    <xf numFmtId="0" fontId="32" fillId="0" borderId="11" xfId="0" applyNumberFormat="1" applyFont="1" applyFill="1" applyBorder="1" applyAlignment="1">
      <alignment horizontal="left" wrapText="1"/>
    </xf>
    <xf numFmtId="0" fontId="34" fillId="0" borderId="11" xfId="0" applyFont="1" applyFill="1" applyBorder="1" applyAlignment="1">
      <alignment horizontal="center" wrapText="1"/>
    </xf>
    <xf numFmtId="0" fontId="35" fillId="0" borderId="11" xfId="0" applyFont="1" applyFill="1" applyBorder="1" applyAlignment="1">
      <alignment horizontal="left" wrapText="1"/>
    </xf>
    <xf numFmtId="0" fontId="32" fillId="34" borderId="11" xfId="0" applyNumberFormat="1" applyFont="1" applyFill="1" applyBorder="1" applyAlignment="1">
      <alignment horizontal="left" wrapText="1"/>
    </xf>
    <xf numFmtId="0" fontId="29" fillId="0" borderId="11" xfId="0" applyFont="1" applyFill="1" applyBorder="1" applyAlignment="1">
      <alignment horizontal="justify" wrapText="1"/>
    </xf>
    <xf numFmtId="0" fontId="0" fillId="0" borderId="0" xfId="0" applyFont="1" applyFill="1" applyAlignment="1">
      <alignment horizontal="left"/>
    </xf>
    <xf numFmtId="0" fontId="32" fillId="0" borderId="11" xfId="98" applyFont="1" applyBorder="1" applyAlignment="1" applyProtection="1">
      <alignment wrapText="1"/>
      <protection/>
    </xf>
    <xf numFmtId="49" fontId="32" fillId="0" borderId="11" xfId="89" applyFont="1" applyBorder="1" applyAlignment="1" applyProtection="1">
      <alignment horizontal="center" shrinkToFit="1"/>
      <protection/>
    </xf>
    <xf numFmtId="0" fontId="32" fillId="0" borderId="11" xfId="131" applyFont="1" applyFill="1" applyBorder="1" applyAlignment="1">
      <alignment horizontal="left" vertical="top" wrapText="1"/>
      <protection/>
    </xf>
    <xf numFmtId="0" fontId="26" fillId="0" borderId="11" xfId="0" applyFont="1" applyFill="1" applyBorder="1" applyAlignment="1">
      <alignment vertical="top" wrapText="1"/>
    </xf>
    <xf numFmtId="10" fontId="32" fillId="34" borderId="11" xfId="95" applyFont="1" applyFill="1" applyBorder="1" applyAlignment="1" applyProtection="1">
      <alignment horizontal="left" vertical="top" wrapText="1" shrinkToFit="1"/>
      <protection/>
    </xf>
    <xf numFmtId="0" fontId="32" fillId="34" borderId="11" xfId="83" applyFont="1" applyFill="1" applyBorder="1" applyProtection="1">
      <alignment horizontal="center"/>
      <protection/>
    </xf>
    <xf numFmtId="0" fontId="36" fillId="0" borderId="0" xfId="0" applyFont="1" applyFill="1" applyAlignment="1">
      <alignment horizontal="left"/>
    </xf>
    <xf numFmtId="0" fontId="37" fillId="0" borderId="11" xfId="0" applyFont="1" applyFill="1" applyBorder="1" applyAlignment="1">
      <alignment/>
    </xf>
    <xf numFmtId="0" fontId="33" fillId="0" borderId="11" xfId="0" applyFont="1" applyFill="1" applyBorder="1" applyAlignment="1">
      <alignment/>
    </xf>
    <xf numFmtId="0" fontId="33" fillId="0" borderId="11" xfId="0" applyFont="1" applyFill="1" applyBorder="1" applyAlignment="1">
      <alignment/>
    </xf>
    <xf numFmtId="4" fontId="37" fillId="0" borderId="11" xfId="0" applyNumberFormat="1" applyFont="1" applyFill="1" applyBorder="1" applyAlignment="1">
      <alignment/>
    </xf>
    <xf numFmtId="0" fontId="38" fillId="0" borderId="0" xfId="0" applyFont="1" applyFill="1" applyAlignment="1">
      <alignment horizontal="left"/>
    </xf>
    <xf numFmtId="4" fontId="33" fillId="0" borderId="0" xfId="0" applyNumberFormat="1" applyFont="1" applyFill="1" applyAlignment="1">
      <alignment horizontal="center"/>
    </xf>
    <xf numFmtId="0" fontId="39" fillId="0" borderId="0" xfId="0" applyFont="1" applyFill="1" applyAlignment="1">
      <alignment horizontal="left"/>
    </xf>
    <xf numFmtId="4" fontId="37" fillId="0" borderId="11" xfId="0" applyNumberFormat="1" applyFont="1" applyFill="1" applyBorder="1" applyAlignment="1">
      <alignment wrapText="1"/>
    </xf>
    <xf numFmtId="4" fontId="33" fillId="0" borderId="11" xfId="0" applyNumberFormat="1" applyFont="1" applyFill="1" applyBorder="1" applyAlignment="1">
      <alignment wrapText="1"/>
    </xf>
    <xf numFmtId="4" fontId="33" fillId="34" borderId="11" xfId="0" applyNumberFormat="1" applyFont="1" applyFill="1" applyBorder="1" applyAlignment="1">
      <alignment wrapText="1"/>
    </xf>
    <xf numFmtId="4" fontId="33" fillId="34" borderId="11" xfId="0" applyNumberFormat="1" applyFont="1" applyFill="1" applyBorder="1" applyAlignment="1">
      <alignment horizontal="right" wrapText="1"/>
    </xf>
    <xf numFmtId="4" fontId="33" fillId="0" borderId="11" xfId="0" applyNumberFormat="1" applyFont="1" applyFill="1" applyBorder="1" applyAlignment="1">
      <alignment/>
    </xf>
    <xf numFmtId="4" fontId="40" fillId="0" borderId="11" xfId="99" applyNumberFormat="1" applyFont="1" applyFill="1" applyBorder="1" applyProtection="1">
      <alignment horizontal="right" vertical="top" shrinkToFit="1"/>
      <protection locked="0"/>
    </xf>
    <xf numFmtId="4" fontId="37" fillId="0" borderId="11" xfId="0" applyNumberFormat="1" applyFont="1" applyFill="1" applyBorder="1" applyAlignment="1">
      <alignment horizontal="right" wrapText="1"/>
    </xf>
    <xf numFmtId="4" fontId="33" fillId="0" borderId="11" xfId="0" applyNumberFormat="1" applyFont="1" applyBorder="1" applyAlignment="1">
      <alignment wrapText="1"/>
    </xf>
    <xf numFmtId="0" fontId="39" fillId="0" borderId="0" xfId="0" applyFont="1" applyFill="1" applyAlignment="1">
      <alignment horizontal="center"/>
    </xf>
    <xf numFmtId="0" fontId="41" fillId="0" borderId="0" xfId="0" applyFont="1" applyFill="1" applyAlignment="1">
      <alignment horizontal="left"/>
    </xf>
    <xf numFmtId="0" fontId="27" fillId="0" borderId="0" xfId="0" applyFont="1" applyFill="1" applyBorder="1" applyAlignment="1">
      <alignment horizontal="center" wrapText="1"/>
    </xf>
    <xf numFmtId="0" fontId="28" fillId="0" borderId="0" xfId="0" applyFont="1" applyFill="1" applyBorder="1" applyAlignment="1">
      <alignment horizontal="center" vertical="center" wrapText="1"/>
    </xf>
    <xf numFmtId="0" fontId="26" fillId="0" borderId="10" xfId="0" applyFont="1" applyFill="1" applyBorder="1" applyAlignment="1">
      <alignment horizontal="right" wrapText="1"/>
    </xf>
    <xf numFmtId="0" fontId="26" fillId="0" borderId="0" xfId="0" applyFont="1" applyFill="1" applyBorder="1" applyAlignment="1">
      <alignment horizontal="left" wrapText="1"/>
    </xf>
    <xf numFmtId="0" fontId="42" fillId="0" borderId="0" xfId="0" applyFont="1" applyFill="1" applyBorder="1" applyAlignment="1">
      <alignment horizontal="left"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03"/>
  <sheetViews>
    <sheetView tabSelected="1" view="pageBreakPreview" zoomScaleNormal="85" zoomScaleSheetLayoutView="100" zoomScalePageLayoutView="0" workbookViewId="0" topLeftCell="A1">
      <selection activeCell="D6" sqref="D6"/>
    </sheetView>
  </sheetViews>
  <sheetFormatPr defaultColWidth="8.375" defaultRowHeight="12.75"/>
  <cols>
    <col min="1" max="1" width="61.375" style="1" customWidth="1"/>
    <col min="2" max="2" width="22.75390625" style="2" customWidth="1"/>
    <col min="3" max="3" width="8.625" style="2" customWidth="1"/>
    <col min="4" max="4" width="23.25390625" style="60" customWidth="1"/>
    <col min="5" max="5" width="21.875" style="51" customWidth="1"/>
    <col min="6" max="6" width="22.25390625" style="51" customWidth="1"/>
    <col min="7" max="16384" width="8.375" style="3" customWidth="1"/>
  </cols>
  <sheetData>
    <row r="1" spans="1:8" ht="100.5" customHeight="1">
      <c r="A1" s="4"/>
      <c r="B1" s="65"/>
      <c r="C1" s="65"/>
      <c r="D1" s="65"/>
      <c r="E1" s="66" t="s">
        <v>547</v>
      </c>
      <c r="F1" s="65"/>
      <c r="G1" s="6"/>
      <c r="H1" s="6"/>
    </row>
    <row r="2" spans="1:7" ht="15" customHeight="1">
      <c r="A2" s="2"/>
      <c r="B2" s="65"/>
      <c r="C2" s="65"/>
      <c r="D2" s="65"/>
      <c r="E2" s="66" t="s">
        <v>548</v>
      </c>
      <c r="F2" s="65"/>
      <c r="G2" s="5"/>
    </row>
    <row r="3" spans="1:5" ht="12" customHeight="1">
      <c r="A3" s="62"/>
      <c r="B3" s="62"/>
      <c r="C3" s="62"/>
      <c r="D3" s="62"/>
      <c r="E3" s="50"/>
    </row>
    <row r="4" spans="1:6" ht="51" customHeight="1">
      <c r="A4" s="63" t="s">
        <v>527</v>
      </c>
      <c r="B4" s="63"/>
      <c r="C4" s="63"/>
      <c r="D4" s="63"/>
      <c r="E4" s="63"/>
      <c r="F4" s="63"/>
    </row>
    <row r="5" spans="1:6" ht="15" customHeight="1">
      <c r="A5" s="64" t="s">
        <v>528</v>
      </c>
      <c r="B5" s="64"/>
      <c r="C5" s="64"/>
      <c r="D5" s="64"/>
      <c r="E5" s="64"/>
      <c r="F5" s="64"/>
    </row>
    <row r="6" spans="1:6" s="10" customFormat="1" ht="47.25">
      <c r="A6" s="7" t="s">
        <v>529</v>
      </c>
      <c r="B6" s="7" t="s">
        <v>530</v>
      </c>
      <c r="C6" s="8" t="s">
        <v>531</v>
      </c>
      <c r="D6" s="9" t="s">
        <v>532</v>
      </c>
      <c r="E6" s="9" t="s">
        <v>533</v>
      </c>
      <c r="F6" s="9" t="s">
        <v>534</v>
      </c>
    </row>
    <row r="7" spans="1:6" s="10" customFormat="1" ht="31.5">
      <c r="A7" s="11" t="s">
        <v>535</v>
      </c>
      <c r="B7" s="12" t="s">
        <v>536</v>
      </c>
      <c r="C7" s="12"/>
      <c r="D7" s="52">
        <f>SUM(D8,D29,D65,D79,D89,D98,D105,)</f>
        <v>2347734985.8900003</v>
      </c>
      <c r="E7" s="52">
        <f>SUM(E8,E29,E65,E79,E89,E98,E105,)</f>
        <v>7099192.2</v>
      </c>
      <c r="F7" s="52">
        <f aca="true" t="shared" si="0" ref="F7:F228">SUM(D7:E7)</f>
        <v>2354834178.09</v>
      </c>
    </row>
    <row r="8" spans="1:6" s="10" customFormat="1" ht="31.5">
      <c r="A8" s="13" t="s">
        <v>537</v>
      </c>
      <c r="B8" s="14" t="s">
        <v>538</v>
      </c>
      <c r="C8" s="14"/>
      <c r="D8" s="53">
        <f>SUM(D9,D15,D18,D21,D24)</f>
        <v>822676443</v>
      </c>
      <c r="E8" s="53">
        <f>SUM(E9,E15,E18,E21,E24)</f>
        <v>-284820</v>
      </c>
      <c r="F8" s="53">
        <f t="shared" si="0"/>
        <v>822391623</v>
      </c>
    </row>
    <row r="9" spans="1:6" s="10" customFormat="1" ht="31.5">
      <c r="A9" s="15" t="s">
        <v>539</v>
      </c>
      <c r="B9" s="16" t="s">
        <v>540</v>
      </c>
      <c r="C9" s="16"/>
      <c r="D9" s="54">
        <f>SUM(D10,D13)</f>
        <v>485841389</v>
      </c>
      <c r="E9" s="54">
        <f>SUM(E10,E13)</f>
        <v>0</v>
      </c>
      <c r="F9" s="53">
        <f t="shared" si="0"/>
        <v>485841389</v>
      </c>
    </row>
    <row r="10" spans="1:6" s="10" customFormat="1" ht="31.5">
      <c r="A10" s="17" t="s">
        <v>541</v>
      </c>
      <c r="B10" s="16" t="s">
        <v>540</v>
      </c>
      <c r="C10" s="16">
        <v>600</v>
      </c>
      <c r="D10" s="54">
        <f>SUM(D11:D12)</f>
        <v>478648685</v>
      </c>
      <c r="E10" s="54">
        <f>SUM(E11:E12)</f>
        <v>0</v>
      </c>
      <c r="F10" s="53">
        <f t="shared" si="0"/>
        <v>478648685</v>
      </c>
    </row>
    <row r="11" spans="1:6" s="10" customFormat="1" ht="16.5">
      <c r="A11" s="17" t="s">
        <v>542</v>
      </c>
      <c r="B11" s="16" t="s">
        <v>540</v>
      </c>
      <c r="C11" s="16">
        <v>610</v>
      </c>
      <c r="D11" s="55">
        <v>477265762</v>
      </c>
      <c r="E11" s="55">
        <v>0</v>
      </c>
      <c r="F11" s="53">
        <f t="shared" si="0"/>
        <v>477265762</v>
      </c>
    </row>
    <row r="12" spans="1:6" s="10" customFormat="1" ht="31.5">
      <c r="A12" s="17" t="s">
        <v>543</v>
      </c>
      <c r="B12" s="16" t="s">
        <v>540</v>
      </c>
      <c r="C12" s="16">
        <v>630</v>
      </c>
      <c r="D12" s="55">
        <v>1382923</v>
      </c>
      <c r="E12" s="55">
        <v>0</v>
      </c>
      <c r="F12" s="53">
        <f t="shared" si="0"/>
        <v>1382923</v>
      </c>
    </row>
    <row r="13" spans="1:6" s="10" customFormat="1" ht="16.5">
      <c r="A13" s="17" t="s">
        <v>544</v>
      </c>
      <c r="B13" s="16" t="s">
        <v>540</v>
      </c>
      <c r="C13" s="16">
        <v>800</v>
      </c>
      <c r="D13" s="55">
        <f>D14</f>
        <v>7192704</v>
      </c>
      <c r="E13" s="55">
        <f>E14</f>
        <v>0</v>
      </c>
      <c r="F13" s="53">
        <f t="shared" si="0"/>
        <v>7192704</v>
      </c>
    </row>
    <row r="14" spans="1:6" s="10" customFormat="1" ht="47.25">
      <c r="A14" s="17" t="s">
        <v>545</v>
      </c>
      <c r="B14" s="16" t="s">
        <v>540</v>
      </c>
      <c r="C14" s="16">
        <v>810</v>
      </c>
      <c r="D14" s="55">
        <v>7192704</v>
      </c>
      <c r="E14" s="55">
        <v>0</v>
      </c>
      <c r="F14" s="53">
        <f t="shared" si="0"/>
        <v>7192704</v>
      </c>
    </row>
    <row r="15" spans="1:6" s="10" customFormat="1" ht="31.5">
      <c r="A15" s="13" t="s">
        <v>546</v>
      </c>
      <c r="B15" s="14" t="s">
        <v>0</v>
      </c>
      <c r="C15" s="14"/>
      <c r="D15" s="53">
        <f>D16</f>
        <v>180000000</v>
      </c>
      <c r="E15" s="53">
        <f>E16</f>
        <v>-3410000</v>
      </c>
      <c r="F15" s="53">
        <f t="shared" si="0"/>
        <v>176590000</v>
      </c>
    </row>
    <row r="16" spans="1:6" s="10" customFormat="1" ht="31.5">
      <c r="A16" s="18" t="s">
        <v>541</v>
      </c>
      <c r="B16" s="14" t="s">
        <v>0</v>
      </c>
      <c r="C16" s="14">
        <v>600</v>
      </c>
      <c r="D16" s="53">
        <f>D17</f>
        <v>180000000</v>
      </c>
      <c r="E16" s="53">
        <f>E17</f>
        <v>-3410000</v>
      </c>
      <c r="F16" s="53">
        <f t="shared" si="0"/>
        <v>176590000</v>
      </c>
    </row>
    <row r="17" spans="1:6" s="10" customFormat="1" ht="16.5">
      <c r="A17" s="18" t="s">
        <v>542</v>
      </c>
      <c r="B17" s="14" t="s">
        <v>0</v>
      </c>
      <c r="C17" s="14">
        <v>610</v>
      </c>
      <c r="D17" s="53">
        <v>180000000</v>
      </c>
      <c r="E17" s="53">
        <f>-3060000-350000</f>
        <v>-3410000</v>
      </c>
      <c r="F17" s="53">
        <f t="shared" si="0"/>
        <v>176590000</v>
      </c>
    </row>
    <row r="18" spans="1:6" s="10" customFormat="1" ht="78.75">
      <c r="A18" s="19" t="s">
        <v>1</v>
      </c>
      <c r="B18" s="16" t="s">
        <v>2</v>
      </c>
      <c r="C18" s="16"/>
      <c r="D18" s="54">
        <f>D19</f>
        <v>135816974</v>
      </c>
      <c r="E18" s="54">
        <f>E19</f>
        <v>0</v>
      </c>
      <c r="F18" s="53">
        <f t="shared" si="0"/>
        <v>135816974</v>
      </c>
    </row>
    <row r="19" spans="1:6" s="10" customFormat="1" ht="31.5">
      <c r="A19" s="17" t="s">
        <v>541</v>
      </c>
      <c r="B19" s="16" t="s">
        <v>2</v>
      </c>
      <c r="C19" s="16">
        <v>600</v>
      </c>
      <c r="D19" s="54">
        <f>D20</f>
        <v>135816974</v>
      </c>
      <c r="E19" s="54">
        <f>E20</f>
        <v>0</v>
      </c>
      <c r="F19" s="53">
        <f t="shared" si="0"/>
        <v>135816974</v>
      </c>
    </row>
    <row r="20" spans="1:6" s="10" customFormat="1" ht="16.5">
      <c r="A20" s="17" t="s">
        <v>542</v>
      </c>
      <c r="B20" s="16" t="s">
        <v>2</v>
      </c>
      <c r="C20" s="16">
        <v>610</v>
      </c>
      <c r="D20" s="54">
        <f>6790849+129026125</f>
        <v>135816974</v>
      </c>
      <c r="E20" s="54"/>
      <c r="F20" s="53">
        <f t="shared" si="0"/>
        <v>135816974</v>
      </c>
    </row>
    <row r="21" spans="1:6" s="10" customFormat="1" ht="31.5">
      <c r="A21" s="13" t="s">
        <v>3</v>
      </c>
      <c r="B21" s="14" t="s">
        <v>4</v>
      </c>
      <c r="C21" s="14"/>
      <c r="D21" s="54">
        <f>D22</f>
        <v>20000000</v>
      </c>
      <c r="E21" s="54">
        <f>E22</f>
        <v>3410000</v>
      </c>
      <c r="F21" s="53">
        <f t="shared" si="0"/>
        <v>23410000</v>
      </c>
    </row>
    <row r="22" spans="1:6" s="10" customFormat="1" ht="31.5">
      <c r="A22" s="18" t="s">
        <v>541</v>
      </c>
      <c r="B22" s="14" t="s">
        <v>4</v>
      </c>
      <c r="C22" s="14">
        <v>600</v>
      </c>
      <c r="D22" s="53">
        <f>D23</f>
        <v>20000000</v>
      </c>
      <c r="E22" s="53">
        <f>E23</f>
        <v>3410000</v>
      </c>
      <c r="F22" s="53">
        <f t="shared" si="0"/>
        <v>23410000</v>
      </c>
    </row>
    <row r="23" spans="1:6" s="10" customFormat="1" ht="16.5">
      <c r="A23" s="18" t="s">
        <v>542</v>
      </c>
      <c r="B23" s="14" t="s">
        <v>4</v>
      </c>
      <c r="C23" s="14">
        <v>610</v>
      </c>
      <c r="D23" s="53">
        <v>20000000</v>
      </c>
      <c r="E23" s="53">
        <f>3060000+350000</f>
        <v>3410000</v>
      </c>
      <c r="F23" s="53">
        <f t="shared" si="0"/>
        <v>23410000</v>
      </c>
    </row>
    <row r="24" spans="1:6" s="10" customFormat="1" ht="31.5">
      <c r="A24" s="13" t="s">
        <v>5</v>
      </c>
      <c r="B24" s="14" t="s">
        <v>6</v>
      </c>
      <c r="C24" s="14"/>
      <c r="D24" s="53">
        <f>D27+D25</f>
        <v>1018080</v>
      </c>
      <c r="E24" s="53">
        <f>E27+E25</f>
        <v>-284820</v>
      </c>
      <c r="F24" s="53">
        <f t="shared" si="0"/>
        <v>733260</v>
      </c>
    </row>
    <row r="25" spans="1:6" s="10" customFormat="1" ht="31.5">
      <c r="A25" s="20" t="s">
        <v>7</v>
      </c>
      <c r="B25" s="14" t="s">
        <v>6</v>
      </c>
      <c r="C25" s="14">
        <v>200</v>
      </c>
      <c r="D25" s="53">
        <f>D26</f>
        <v>10080</v>
      </c>
      <c r="E25" s="53">
        <f>E26</f>
        <v>0</v>
      </c>
      <c r="F25" s="53">
        <f t="shared" si="0"/>
        <v>10080</v>
      </c>
    </row>
    <row r="26" spans="1:6" s="10" customFormat="1" ht="31.5">
      <c r="A26" s="20" t="s">
        <v>8</v>
      </c>
      <c r="B26" s="14" t="s">
        <v>6</v>
      </c>
      <c r="C26" s="14">
        <v>240</v>
      </c>
      <c r="D26" s="53">
        <v>10080</v>
      </c>
      <c r="E26" s="53">
        <v>0</v>
      </c>
      <c r="F26" s="53">
        <f t="shared" si="0"/>
        <v>10080</v>
      </c>
    </row>
    <row r="27" spans="1:6" s="10" customFormat="1" ht="16.5">
      <c r="A27" s="18" t="s">
        <v>9</v>
      </c>
      <c r="B27" s="14" t="s">
        <v>6</v>
      </c>
      <c r="C27" s="14">
        <v>300</v>
      </c>
      <c r="D27" s="53">
        <f>D28</f>
        <v>1008000</v>
      </c>
      <c r="E27" s="53">
        <f>E28</f>
        <v>-284820</v>
      </c>
      <c r="F27" s="53">
        <f t="shared" si="0"/>
        <v>723180</v>
      </c>
    </row>
    <row r="28" spans="1:6" s="10" customFormat="1" ht="31.5">
      <c r="A28" s="18" t="s">
        <v>10</v>
      </c>
      <c r="B28" s="14" t="s">
        <v>6</v>
      </c>
      <c r="C28" s="14">
        <v>320</v>
      </c>
      <c r="D28" s="53">
        <v>1008000</v>
      </c>
      <c r="E28" s="53">
        <v>-284820</v>
      </c>
      <c r="F28" s="53">
        <f t="shared" si="0"/>
        <v>723180</v>
      </c>
    </row>
    <row r="29" spans="1:6" s="10" customFormat="1" ht="31.5">
      <c r="A29" s="13" t="s">
        <v>11</v>
      </c>
      <c r="B29" s="14" t="s">
        <v>12</v>
      </c>
      <c r="C29" s="14"/>
      <c r="D29" s="53">
        <f>SUM(D30,D34,D37,D46,D56,D51,D59,D62,D43,D40)</f>
        <v>1228033411.89</v>
      </c>
      <c r="E29" s="53">
        <f>SUM(E30,E34,E37,E46,E56,E51,E59,E62,E43,E40)</f>
        <v>6787192.2</v>
      </c>
      <c r="F29" s="53">
        <f t="shared" si="0"/>
        <v>1234820604.0900002</v>
      </c>
    </row>
    <row r="30" spans="1:6" s="10" customFormat="1" ht="31.5">
      <c r="A30" s="15" t="s">
        <v>13</v>
      </c>
      <c r="B30" s="16" t="s">
        <v>14</v>
      </c>
      <c r="C30" s="16"/>
      <c r="D30" s="54">
        <f>D31</f>
        <v>895290388</v>
      </c>
      <c r="E30" s="54">
        <f>E31</f>
        <v>0</v>
      </c>
      <c r="F30" s="53">
        <f t="shared" si="0"/>
        <v>895290388</v>
      </c>
    </row>
    <row r="31" spans="1:6" s="10" customFormat="1" ht="31.5">
      <c r="A31" s="17" t="s">
        <v>541</v>
      </c>
      <c r="B31" s="16" t="s">
        <v>14</v>
      </c>
      <c r="C31" s="16">
        <v>600</v>
      </c>
      <c r="D31" s="54">
        <f>D32+D33</f>
        <v>895290388</v>
      </c>
      <c r="E31" s="54">
        <f>E32+E33</f>
        <v>0</v>
      </c>
      <c r="F31" s="53">
        <f t="shared" si="0"/>
        <v>895290388</v>
      </c>
    </row>
    <row r="32" spans="1:6" s="10" customFormat="1" ht="16.5">
      <c r="A32" s="17" t="s">
        <v>542</v>
      </c>
      <c r="B32" s="16" t="s">
        <v>14</v>
      </c>
      <c r="C32" s="16">
        <v>610</v>
      </c>
      <c r="D32" s="55">
        <v>855971521</v>
      </c>
      <c r="E32" s="55">
        <v>0</v>
      </c>
      <c r="F32" s="53">
        <f t="shared" si="0"/>
        <v>855971521</v>
      </c>
    </row>
    <row r="33" spans="1:6" s="10" customFormat="1" ht="31.5">
      <c r="A33" s="17" t="s">
        <v>543</v>
      </c>
      <c r="B33" s="16" t="s">
        <v>14</v>
      </c>
      <c r="C33" s="16">
        <v>630</v>
      </c>
      <c r="D33" s="55">
        <v>39318867</v>
      </c>
      <c r="E33" s="55">
        <v>0</v>
      </c>
      <c r="F33" s="53">
        <f t="shared" si="0"/>
        <v>39318867</v>
      </c>
    </row>
    <row r="34" spans="1:6" s="10" customFormat="1" ht="47.25">
      <c r="A34" s="15" t="s">
        <v>15</v>
      </c>
      <c r="B34" s="16" t="s">
        <v>16</v>
      </c>
      <c r="C34" s="16"/>
      <c r="D34" s="55">
        <f>D35</f>
        <v>2003778</v>
      </c>
      <c r="E34" s="55">
        <f>E35</f>
        <v>0</v>
      </c>
      <c r="F34" s="53">
        <f t="shared" si="0"/>
        <v>2003778</v>
      </c>
    </row>
    <row r="35" spans="1:6" s="10" customFormat="1" ht="31.5">
      <c r="A35" s="17" t="s">
        <v>541</v>
      </c>
      <c r="B35" s="16" t="s">
        <v>16</v>
      </c>
      <c r="C35" s="16">
        <v>600</v>
      </c>
      <c r="D35" s="55">
        <f>D36</f>
        <v>2003778</v>
      </c>
      <c r="E35" s="55">
        <f>E36</f>
        <v>0</v>
      </c>
      <c r="F35" s="53">
        <f t="shared" si="0"/>
        <v>2003778</v>
      </c>
    </row>
    <row r="36" spans="1:6" s="10" customFormat="1" ht="16.5">
      <c r="A36" s="17" t="s">
        <v>542</v>
      </c>
      <c r="B36" s="16" t="s">
        <v>16</v>
      </c>
      <c r="C36" s="16">
        <v>610</v>
      </c>
      <c r="D36" s="55">
        <v>2003778</v>
      </c>
      <c r="E36" s="55">
        <v>0</v>
      </c>
      <c r="F36" s="53">
        <f t="shared" si="0"/>
        <v>2003778</v>
      </c>
    </row>
    <row r="37" spans="1:6" s="10" customFormat="1" ht="31.5">
      <c r="A37" s="13" t="s">
        <v>17</v>
      </c>
      <c r="B37" s="14" t="s">
        <v>18</v>
      </c>
      <c r="C37" s="14"/>
      <c r="D37" s="53">
        <f>D38</f>
        <v>243653393</v>
      </c>
      <c r="E37" s="53">
        <f>E38</f>
        <v>-7533347</v>
      </c>
      <c r="F37" s="53">
        <f t="shared" si="0"/>
        <v>236120046</v>
      </c>
    </row>
    <row r="38" spans="1:6" s="10" customFormat="1" ht="31.5">
      <c r="A38" s="18" t="s">
        <v>541</v>
      </c>
      <c r="B38" s="14" t="s">
        <v>18</v>
      </c>
      <c r="C38" s="14">
        <v>600</v>
      </c>
      <c r="D38" s="53">
        <f>D39</f>
        <v>243653393</v>
      </c>
      <c r="E38" s="53">
        <f>E39</f>
        <v>-7533347</v>
      </c>
      <c r="F38" s="53">
        <f t="shared" si="0"/>
        <v>236120046</v>
      </c>
    </row>
    <row r="39" spans="1:6" s="10" customFormat="1" ht="16.5">
      <c r="A39" s="18" t="s">
        <v>542</v>
      </c>
      <c r="B39" s="14" t="s">
        <v>18</v>
      </c>
      <c r="C39" s="14">
        <v>610</v>
      </c>
      <c r="D39" s="53">
        <v>243653393</v>
      </c>
      <c r="E39" s="53">
        <f>-256000-596820-6680527</f>
        <v>-7533347</v>
      </c>
      <c r="F39" s="53">
        <f t="shared" si="0"/>
        <v>236120046</v>
      </c>
    </row>
    <row r="40" spans="1:6" s="10" customFormat="1" ht="47.25">
      <c r="A40" s="18" t="s">
        <v>19</v>
      </c>
      <c r="B40" s="14" t="s">
        <v>20</v>
      </c>
      <c r="C40" s="14"/>
      <c r="D40" s="53">
        <f>D41</f>
        <v>0</v>
      </c>
      <c r="E40" s="53">
        <f>E41</f>
        <v>5000000</v>
      </c>
      <c r="F40" s="53">
        <f t="shared" si="0"/>
        <v>5000000</v>
      </c>
    </row>
    <row r="41" spans="1:6" s="10" customFormat="1" ht="31.5">
      <c r="A41" s="18" t="s">
        <v>541</v>
      </c>
      <c r="B41" s="14" t="s">
        <v>20</v>
      </c>
      <c r="C41" s="14">
        <v>600</v>
      </c>
      <c r="D41" s="53">
        <f>D42</f>
        <v>0</v>
      </c>
      <c r="E41" s="53">
        <f>E42</f>
        <v>5000000</v>
      </c>
      <c r="F41" s="53">
        <f t="shared" si="0"/>
        <v>5000000</v>
      </c>
    </row>
    <row r="42" spans="1:6" s="10" customFormat="1" ht="16.5">
      <c r="A42" s="18" t="s">
        <v>542</v>
      </c>
      <c r="B42" s="14" t="s">
        <v>20</v>
      </c>
      <c r="C42" s="14">
        <v>610</v>
      </c>
      <c r="D42" s="53">
        <v>0</v>
      </c>
      <c r="E42" s="53">
        <v>5000000</v>
      </c>
      <c r="F42" s="53">
        <f t="shared" si="0"/>
        <v>5000000</v>
      </c>
    </row>
    <row r="43" spans="1:6" s="10" customFormat="1" ht="84.75" customHeight="1">
      <c r="A43" s="18" t="s">
        <v>21</v>
      </c>
      <c r="B43" s="14" t="s">
        <v>22</v>
      </c>
      <c r="C43" s="14"/>
      <c r="D43" s="53">
        <f>D44</f>
        <v>0</v>
      </c>
      <c r="E43" s="53">
        <f>E44</f>
        <v>1050000</v>
      </c>
      <c r="F43" s="53">
        <f t="shared" si="0"/>
        <v>1050000</v>
      </c>
    </row>
    <row r="44" spans="1:6" s="10" customFormat="1" ht="31.5">
      <c r="A44" s="18" t="s">
        <v>541</v>
      </c>
      <c r="B44" s="14" t="s">
        <v>22</v>
      </c>
      <c r="C44" s="14">
        <v>600</v>
      </c>
      <c r="D44" s="53">
        <f>D45</f>
        <v>0</v>
      </c>
      <c r="E44" s="53">
        <f>E45</f>
        <v>1050000</v>
      </c>
      <c r="F44" s="53">
        <f t="shared" si="0"/>
        <v>1050000</v>
      </c>
    </row>
    <row r="45" spans="1:6" s="10" customFormat="1" ht="16.5">
      <c r="A45" s="18" t="s">
        <v>542</v>
      </c>
      <c r="B45" s="14" t="s">
        <v>22</v>
      </c>
      <c r="C45" s="14">
        <v>610</v>
      </c>
      <c r="D45" s="53">
        <v>0</v>
      </c>
      <c r="E45" s="53">
        <v>1050000</v>
      </c>
      <c r="F45" s="53">
        <f t="shared" si="0"/>
        <v>1050000</v>
      </c>
    </row>
    <row r="46" spans="1:6" s="10" customFormat="1" ht="31.5">
      <c r="A46" s="13" t="s">
        <v>23</v>
      </c>
      <c r="B46" s="14" t="s">
        <v>24</v>
      </c>
      <c r="C46" s="14"/>
      <c r="D46" s="53">
        <f>D47+D49</f>
        <v>29186613.89</v>
      </c>
      <c r="E46" s="53">
        <f>E47+E49</f>
        <v>8270539.2</v>
      </c>
      <c r="F46" s="53">
        <f t="shared" si="0"/>
        <v>37457153.09</v>
      </c>
    </row>
    <row r="47" spans="1:6" s="10" customFormat="1" ht="31.5">
      <c r="A47" s="20" t="s">
        <v>7</v>
      </c>
      <c r="B47" s="14" t="s">
        <v>24</v>
      </c>
      <c r="C47" s="14">
        <v>200</v>
      </c>
      <c r="D47" s="53">
        <f>D48</f>
        <v>2986613.89</v>
      </c>
      <c r="E47" s="53">
        <f>E48</f>
        <v>0</v>
      </c>
      <c r="F47" s="27">
        <f t="shared" si="0"/>
        <v>2986613.89</v>
      </c>
    </row>
    <row r="48" spans="1:6" s="10" customFormat="1" ht="31.5">
      <c r="A48" s="20" t="s">
        <v>8</v>
      </c>
      <c r="B48" s="14" t="s">
        <v>24</v>
      </c>
      <c r="C48" s="14">
        <v>240</v>
      </c>
      <c r="D48" s="53">
        <v>2986613.89</v>
      </c>
      <c r="E48" s="53">
        <v>0</v>
      </c>
      <c r="F48" s="27">
        <f t="shared" si="0"/>
        <v>2986613.89</v>
      </c>
    </row>
    <row r="49" spans="1:6" s="10" customFormat="1" ht="31.5">
      <c r="A49" s="18" t="s">
        <v>541</v>
      </c>
      <c r="B49" s="14" t="s">
        <v>24</v>
      </c>
      <c r="C49" s="14">
        <v>600</v>
      </c>
      <c r="D49" s="53">
        <f>D50</f>
        <v>26200000</v>
      </c>
      <c r="E49" s="53">
        <f>E50</f>
        <v>8270539.2</v>
      </c>
      <c r="F49" s="53">
        <f t="shared" si="0"/>
        <v>34470539.2</v>
      </c>
    </row>
    <row r="50" spans="1:6" s="10" customFormat="1" ht="16.5">
      <c r="A50" s="18" t="s">
        <v>542</v>
      </c>
      <c r="B50" s="14" t="s">
        <v>24</v>
      </c>
      <c r="C50" s="14">
        <v>610</v>
      </c>
      <c r="D50" s="53">
        <v>26200000</v>
      </c>
      <c r="E50" s="26">
        <f>256000+6680527+1334012.2</f>
        <v>8270539.2</v>
      </c>
      <c r="F50" s="53">
        <f t="shared" si="0"/>
        <v>34470539.2</v>
      </c>
    </row>
    <row r="51" spans="1:6" s="10" customFormat="1" ht="31.5">
      <c r="A51" s="13" t="s">
        <v>25</v>
      </c>
      <c r="B51" s="14" t="s">
        <v>26</v>
      </c>
      <c r="C51" s="14"/>
      <c r="D51" s="53">
        <f>D54+D52</f>
        <v>4363200</v>
      </c>
      <c r="E51" s="53">
        <f>E54+E52</f>
        <v>0</v>
      </c>
      <c r="F51" s="53">
        <f t="shared" si="0"/>
        <v>4363200</v>
      </c>
    </row>
    <row r="52" spans="1:6" s="10" customFormat="1" ht="31.5">
      <c r="A52" s="20" t="s">
        <v>7</v>
      </c>
      <c r="B52" s="14" t="s">
        <v>26</v>
      </c>
      <c r="C52" s="14">
        <v>200</v>
      </c>
      <c r="D52" s="53">
        <f>D53</f>
        <v>43200</v>
      </c>
      <c r="E52" s="53">
        <f>E53</f>
        <v>0</v>
      </c>
      <c r="F52" s="53">
        <f t="shared" si="0"/>
        <v>43200</v>
      </c>
    </row>
    <row r="53" spans="1:6" s="10" customFormat="1" ht="31.5">
      <c r="A53" s="20" t="s">
        <v>8</v>
      </c>
      <c r="B53" s="14" t="s">
        <v>26</v>
      </c>
      <c r="C53" s="14">
        <v>240</v>
      </c>
      <c r="D53" s="53">
        <v>43200</v>
      </c>
      <c r="E53" s="53">
        <v>0</v>
      </c>
      <c r="F53" s="53">
        <f t="shared" si="0"/>
        <v>43200</v>
      </c>
    </row>
    <row r="54" spans="1:6" s="10" customFormat="1" ht="16.5">
      <c r="A54" s="18" t="s">
        <v>9</v>
      </c>
      <c r="B54" s="14" t="s">
        <v>26</v>
      </c>
      <c r="C54" s="14">
        <v>300</v>
      </c>
      <c r="D54" s="53">
        <f>D55</f>
        <v>4320000</v>
      </c>
      <c r="E54" s="53">
        <f>E55</f>
        <v>0</v>
      </c>
      <c r="F54" s="53">
        <f t="shared" si="0"/>
        <v>4320000</v>
      </c>
    </row>
    <row r="55" spans="1:6" s="10" customFormat="1" ht="31.5">
      <c r="A55" s="18" t="s">
        <v>10</v>
      </c>
      <c r="B55" s="14" t="s">
        <v>26</v>
      </c>
      <c r="C55" s="14">
        <v>320</v>
      </c>
      <c r="D55" s="53">
        <v>4320000</v>
      </c>
      <c r="E55" s="53">
        <v>0</v>
      </c>
      <c r="F55" s="53">
        <f t="shared" si="0"/>
        <v>4320000</v>
      </c>
    </row>
    <row r="56" spans="1:6" s="10" customFormat="1" ht="47.25">
      <c r="A56" s="17" t="s">
        <v>27</v>
      </c>
      <c r="B56" s="16" t="s">
        <v>28</v>
      </c>
      <c r="C56" s="16"/>
      <c r="D56" s="54">
        <f>D57</f>
        <v>44372160</v>
      </c>
      <c r="E56" s="54">
        <f>E57</f>
        <v>0</v>
      </c>
      <c r="F56" s="53">
        <f t="shared" si="0"/>
        <v>44372160</v>
      </c>
    </row>
    <row r="57" spans="1:6" s="10" customFormat="1" ht="31.5">
      <c r="A57" s="17" t="s">
        <v>541</v>
      </c>
      <c r="B57" s="16" t="s">
        <v>28</v>
      </c>
      <c r="C57" s="16">
        <v>600</v>
      </c>
      <c r="D57" s="54">
        <f>D58</f>
        <v>44372160</v>
      </c>
      <c r="E57" s="54">
        <f>E58</f>
        <v>0</v>
      </c>
      <c r="F57" s="53">
        <f t="shared" si="0"/>
        <v>44372160</v>
      </c>
    </row>
    <row r="58" spans="1:6" s="10" customFormat="1" ht="16.5">
      <c r="A58" s="17" t="s">
        <v>542</v>
      </c>
      <c r="B58" s="16" t="s">
        <v>28</v>
      </c>
      <c r="C58" s="16">
        <v>610</v>
      </c>
      <c r="D58" s="54">
        <f>44372160</f>
        <v>44372160</v>
      </c>
      <c r="E58" s="54">
        <v>0</v>
      </c>
      <c r="F58" s="53">
        <f t="shared" si="0"/>
        <v>44372160</v>
      </c>
    </row>
    <row r="59" spans="1:6" s="10" customFormat="1" ht="16.5">
      <c r="A59" s="17" t="s">
        <v>29</v>
      </c>
      <c r="B59" s="16" t="s">
        <v>30</v>
      </c>
      <c r="C59" s="16"/>
      <c r="D59" s="54">
        <f>D60</f>
        <v>1575218</v>
      </c>
      <c r="E59" s="54">
        <f>E60</f>
        <v>0</v>
      </c>
      <c r="F59" s="56">
        <f t="shared" si="0"/>
        <v>1575218</v>
      </c>
    </row>
    <row r="60" spans="1:6" s="10" customFormat="1" ht="31.5">
      <c r="A60" s="17" t="s">
        <v>541</v>
      </c>
      <c r="B60" s="16" t="s">
        <v>30</v>
      </c>
      <c r="C60" s="16">
        <v>600</v>
      </c>
      <c r="D60" s="54">
        <f>D61</f>
        <v>1575218</v>
      </c>
      <c r="E60" s="54">
        <f>E61</f>
        <v>0</v>
      </c>
      <c r="F60" s="56">
        <f t="shared" si="0"/>
        <v>1575218</v>
      </c>
    </row>
    <row r="61" spans="1:6" s="10" customFormat="1" ht="16.5">
      <c r="A61" s="17" t="s">
        <v>542</v>
      </c>
      <c r="B61" s="16" t="s">
        <v>30</v>
      </c>
      <c r="C61" s="16">
        <v>610</v>
      </c>
      <c r="D61" s="54">
        <v>1575218</v>
      </c>
      <c r="E61" s="54">
        <v>0</v>
      </c>
      <c r="F61" s="56">
        <f t="shared" si="0"/>
        <v>1575218</v>
      </c>
    </row>
    <row r="62" spans="1:6" s="10" customFormat="1" ht="94.5">
      <c r="A62" s="18" t="s">
        <v>31</v>
      </c>
      <c r="B62" s="14" t="s">
        <v>32</v>
      </c>
      <c r="C62" s="14"/>
      <c r="D62" s="54">
        <f>D63</f>
        <v>7588661</v>
      </c>
      <c r="E62" s="54">
        <f>E63</f>
        <v>0</v>
      </c>
      <c r="F62" s="53">
        <f t="shared" si="0"/>
        <v>7588661</v>
      </c>
    </row>
    <row r="63" spans="1:6" s="10" customFormat="1" ht="31.5">
      <c r="A63" s="17" t="s">
        <v>541</v>
      </c>
      <c r="B63" s="14" t="s">
        <v>32</v>
      </c>
      <c r="C63" s="16">
        <v>600</v>
      </c>
      <c r="D63" s="54">
        <f>D64</f>
        <v>7588661</v>
      </c>
      <c r="E63" s="54">
        <f>E64</f>
        <v>0</v>
      </c>
      <c r="F63" s="53">
        <f t="shared" si="0"/>
        <v>7588661</v>
      </c>
    </row>
    <row r="64" spans="1:6" s="10" customFormat="1" ht="16.5">
      <c r="A64" s="17" t="s">
        <v>542</v>
      </c>
      <c r="B64" s="14" t="s">
        <v>32</v>
      </c>
      <c r="C64" s="16">
        <v>610</v>
      </c>
      <c r="D64" s="54">
        <v>7588661</v>
      </c>
      <c r="E64" s="54">
        <v>0</v>
      </c>
      <c r="F64" s="53">
        <f t="shared" si="0"/>
        <v>7588661</v>
      </c>
    </row>
    <row r="65" spans="1:6" s="10" customFormat="1" ht="47.25">
      <c r="A65" s="18" t="s">
        <v>33</v>
      </c>
      <c r="B65" s="14" t="s">
        <v>34</v>
      </c>
      <c r="C65" s="14"/>
      <c r="D65" s="53">
        <f>SUM(D66,D70,D73,D76)</f>
        <v>125880879</v>
      </c>
      <c r="E65" s="53">
        <f>SUM(E66,E70,E73,E76)</f>
        <v>0</v>
      </c>
      <c r="F65" s="53">
        <f t="shared" si="0"/>
        <v>125880879</v>
      </c>
    </row>
    <row r="66" spans="1:6" s="10" customFormat="1" ht="47.25">
      <c r="A66" s="18" t="s">
        <v>35</v>
      </c>
      <c r="B66" s="14" t="s">
        <v>36</v>
      </c>
      <c r="C66" s="14"/>
      <c r="D66" s="53">
        <f>D67</f>
        <v>36989140</v>
      </c>
      <c r="E66" s="53">
        <f>E67</f>
        <v>0</v>
      </c>
      <c r="F66" s="53">
        <f t="shared" si="0"/>
        <v>36989140</v>
      </c>
    </row>
    <row r="67" spans="1:6" s="10" customFormat="1" ht="31.5">
      <c r="A67" s="18" t="s">
        <v>541</v>
      </c>
      <c r="B67" s="14" t="s">
        <v>36</v>
      </c>
      <c r="C67" s="14">
        <v>600</v>
      </c>
      <c r="D67" s="53">
        <f>SUM(D68:D69)</f>
        <v>36989140</v>
      </c>
      <c r="E67" s="53">
        <f>SUM(E68:E69)</f>
        <v>0</v>
      </c>
      <c r="F67" s="53">
        <f t="shared" si="0"/>
        <v>36989140</v>
      </c>
    </row>
    <row r="68" spans="1:6" s="10" customFormat="1" ht="16.5">
      <c r="A68" s="18" t="s">
        <v>542</v>
      </c>
      <c r="B68" s="14" t="s">
        <v>36</v>
      </c>
      <c r="C68" s="14">
        <v>610</v>
      </c>
      <c r="D68" s="53">
        <v>33886753</v>
      </c>
      <c r="E68" s="53">
        <v>0</v>
      </c>
      <c r="F68" s="53">
        <f t="shared" si="0"/>
        <v>33886753</v>
      </c>
    </row>
    <row r="69" spans="1:6" s="10" customFormat="1" ht="31.5">
      <c r="A69" s="18" t="s">
        <v>543</v>
      </c>
      <c r="B69" s="14" t="s">
        <v>36</v>
      </c>
      <c r="C69" s="14">
        <v>630</v>
      </c>
      <c r="D69" s="53">
        <v>3102387</v>
      </c>
      <c r="E69" s="53">
        <v>0</v>
      </c>
      <c r="F69" s="53">
        <f t="shared" si="0"/>
        <v>3102387</v>
      </c>
    </row>
    <row r="70" spans="1:6" s="10" customFormat="1" ht="63">
      <c r="A70" s="17" t="s">
        <v>37</v>
      </c>
      <c r="B70" s="16" t="s">
        <v>38</v>
      </c>
      <c r="C70" s="16"/>
      <c r="D70" s="54">
        <f>D71</f>
        <v>87690539</v>
      </c>
      <c r="E70" s="54">
        <f>E71</f>
        <v>0</v>
      </c>
      <c r="F70" s="53">
        <f t="shared" si="0"/>
        <v>87690539</v>
      </c>
    </row>
    <row r="71" spans="1:6" s="10" customFormat="1" ht="31.5">
      <c r="A71" s="17" t="s">
        <v>541</v>
      </c>
      <c r="B71" s="16" t="s">
        <v>38</v>
      </c>
      <c r="C71" s="16">
        <v>600</v>
      </c>
      <c r="D71" s="54">
        <f>D72</f>
        <v>87690539</v>
      </c>
      <c r="E71" s="54">
        <f>E72</f>
        <v>0</v>
      </c>
      <c r="F71" s="53">
        <f t="shared" si="0"/>
        <v>87690539</v>
      </c>
    </row>
    <row r="72" spans="1:6" s="10" customFormat="1" ht="16.5">
      <c r="A72" s="17" t="s">
        <v>542</v>
      </c>
      <c r="B72" s="16" t="s">
        <v>38</v>
      </c>
      <c r="C72" s="16">
        <v>610</v>
      </c>
      <c r="D72" s="54">
        <f>4384527+83306012</f>
        <v>87690539</v>
      </c>
      <c r="E72" s="54">
        <v>0</v>
      </c>
      <c r="F72" s="53">
        <f t="shared" si="0"/>
        <v>87690539</v>
      </c>
    </row>
    <row r="73" spans="1:6" s="10" customFormat="1" ht="258.75" customHeight="1">
      <c r="A73" s="17" t="s">
        <v>39</v>
      </c>
      <c r="B73" s="16" t="s">
        <v>40</v>
      </c>
      <c r="C73" s="16"/>
      <c r="D73" s="54">
        <f>D74</f>
        <v>27300</v>
      </c>
      <c r="E73" s="54">
        <f>E74</f>
        <v>0</v>
      </c>
      <c r="F73" s="53">
        <f t="shared" si="0"/>
        <v>27300</v>
      </c>
    </row>
    <row r="74" spans="1:6" s="10" customFormat="1" ht="31.5">
      <c r="A74" s="17" t="s">
        <v>541</v>
      </c>
      <c r="B74" s="16" t="s">
        <v>40</v>
      </c>
      <c r="C74" s="16">
        <v>600</v>
      </c>
      <c r="D74" s="54">
        <f>D75</f>
        <v>27300</v>
      </c>
      <c r="E74" s="54">
        <f>E75</f>
        <v>0</v>
      </c>
      <c r="F74" s="53">
        <f t="shared" si="0"/>
        <v>27300</v>
      </c>
    </row>
    <row r="75" spans="1:6" s="10" customFormat="1" ht="16.5">
      <c r="A75" s="17" t="s">
        <v>542</v>
      </c>
      <c r="B75" s="16" t="s">
        <v>40</v>
      </c>
      <c r="C75" s="16">
        <v>610</v>
      </c>
      <c r="D75" s="54">
        <v>27300</v>
      </c>
      <c r="E75" s="54">
        <v>0</v>
      </c>
      <c r="F75" s="53">
        <f t="shared" si="0"/>
        <v>27300</v>
      </c>
    </row>
    <row r="76" spans="1:6" s="10" customFormat="1" ht="204.75">
      <c r="A76" s="17" t="s">
        <v>41</v>
      </c>
      <c r="B76" s="16" t="s">
        <v>42</v>
      </c>
      <c r="C76" s="16"/>
      <c r="D76" s="54">
        <f>D77</f>
        <v>1173900</v>
      </c>
      <c r="E76" s="54">
        <f>E77</f>
        <v>0</v>
      </c>
      <c r="F76" s="53">
        <f t="shared" si="0"/>
        <v>1173900</v>
      </c>
    </row>
    <row r="77" spans="1:6" s="10" customFormat="1" ht="31.5">
      <c r="A77" s="17" t="s">
        <v>541</v>
      </c>
      <c r="B77" s="16" t="s">
        <v>42</v>
      </c>
      <c r="C77" s="16">
        <v>600</v>
      </c>
      <c r="D77" s="54">
        <f>D78</f>
        <v>1173900</v>
      </c>
      <c r="E77" s="54">
        <f>E78</f>
        <v>0</v>
      </c>
      <c r="F77" s="53">
        <f t="shared" si="0"/>
        <v>1173900</v>
      </c>
    </row>
    <row r="78" spans="1:6" s="10" customFormat="1" ht="16.5">
      <c r="A78" s="17" t="s">
        <v>542</v>
      </c>
      <c r="B78" s="16" t="s">
        <v>42</v>
      </c>
      <c r="C78" s="16">
        <v>610</v>
      </c>
      <c r="D78" s="54">
        <v>1173900</v>
      </c>
      <c r="E78" s="54">
        <v>0</v>
      </c>
      <c r="F78" s="53">
        <f t="shared" si="0"/>
        <v>1173900</v>
      </c>
    </row>
    <row r="79" spans="1:6" s="10" customFormat="1" ht="31.5">
      <c r="A79" s="18" t="s">
        <v>43</v>
      </c>
      <c r="B79" s="14" t="s">
        <v>44</v>
      </c>
      <c r="C79" s="14"/>
      <c r="D79" s="53">
        <f>SUM(D80,D86)</f>
        <v>14521581</v>
      </c>
      <c r="E79" s="53">
        <f>SUM(E80,E86)</f>
        <v>596820</v>
      </c>
      <c r="F79" s="53">
        <f t="shared" si="0"/>
        <v>15118401</v>
      </c>
    </row>
    <row r="80" spans="1:6" s="10" customFormat="1" ht="31.5">
      <c r="A80" s="17" t="s">
        <v>45</v>
      </c>
      <c r="B80" s="16" t="s">
        <v>46</v>
      </c>
      <c r="C80" s="16"/>
      <c r="D80" s="54">
        <f>D81+D83</f>
        <v>11971581</v>
      </c>
      <c r="E80" s="54">
        <f>E81+E83</f>
        <v>596820</v>
      </c>
      <c r="F80" s="53">
        <f t="shared" si="0"/>
        <v>12568401</v>
      </c>
    </row>
    <row r="81" spans="1:6" s="10" customFormat="1" ht="31.5">
      <c r="A81" s="21" t="s">
        <v>7</v>
      </c>
      <c r="B81" s="16" t="s">
        <v>46</v>
      </c>
      <c r="C81" s="16">
        <v>200</v>
      </c>
      <c r="D81" s="54">
        <f>D82</f>
        <v>11971581</v>
      </c>
      <c r="E81" s="54">
        <f>E82</f>
        <v>-11919655</v>
      </c>
      <c r="F81" s="53">
        <f t="shared" si="0"/>
        <v>51926</v>
      </c>
    </row>
    <row r="82" spans="1:6" s="10" customFormat="1" ht="31.5">
      <c r="A82" s="21" t="s">
        <v>8</v>
      </c>
      <c r="B82" s="16" t="s">
        <v>46</v>
      </c>
      <c r="C82" s="16">
        <v>240</v>
      </c>
      <c r="D82" s="54">
        <f>9500000+2471581</f>
        <v>11971581</v>
      </c>
      <c r="E82" s="54">
        <f>-11927015+7360</f>
        <v>-11919655</v>
      </c>
      <c r="F82" s="53">
        <f t="shared" si="0"/>
        <v>51926</v>
      </c>
    </row>
    <row r="83" spans="1:6" s="10" customFormat="1" ht="31.5">
      <c r="A83" s="18" t="s">
        <v>541</v>
      </c>
      <c r="B83" s="16" t="s">
        <v>46</v>
      </c>
      <c r="C83" s="14">
        <v>600</v>
      </c>
      <c r="D83" s="54">
        <f>D84+D85</f>
        <v>0</v>
      </c>
      <c r="E83" s="54">
        <f>E84+E85</f>
        <v>12516475</v>
      </c>
      <c r="F83" s="53">
        <f t="shared" si="0"/>
        <v>12516475</v>
      </c>
    </row>
    <row r="84" spans="1:6" s="10" customFormat="1" ht="16.5">
      <c r="A84" s="18" t="s">
        <v>542</v>
      </c>
      <c r="B84" s="16" t="s">
        <v>46</v>
      </c>
      <c r="C84" s="14">
        <v>610</v>
      </c>
      <c r="D84" s="54">
        <v>0</v>
      </c>
      <c r="E84" s="54">
        <f>10463415+596820-15200</f>
        <v>11045035</v>
      </c>
      <c r="F84" s="53">
        <f t="shared" si="0"/>
        <v>11045035</v>
      </c>
    </row>
    <row r="85" spans="1:6" s="10" customFormat="1" ht="16.5">
      <c r="A85" s="18" t="s">
        <v>47</v>
      </c>
      <c r="B85" s="16" t="s">
        <v>46</v>
      </c>
      <c r="C85" s="14">
        <v>620</v>
      </c>
      <c r="D85" s="54">
        <v>0</v>
      </c>
      <c r="E85" s="54">
        <f>1463600+7840</f>
        <v>1471440</v>
      </c>
      <c r="F85" s="53">
        <f t="shared" si="0"/>
        <v>1471440</v>
      </c>
    </row>
    <row r="86" spans="1:6" s="10" customFormat="1" ht="31.5">
      <c r="A86" s="18" t="s">
        <v>48</v>
      </c>
      <c r="B86" s="14" t="s">
        <v>49</v>
      </c>
      <c r="C86" s="14"/>
      <c r="D86" s="53">
        <f>D87</f>
        <v>2550000</v>
      </c>
      <c r="E86" s="53">
        <f>E87</f>
        <v>0</v>
      </c>
      <c r="F86" s="53">
        <f t="shared" si="0"/>
        <v>2550000</v>
      </c>
    </row>
    <row r="87" spans="1:6" s="10" customFormat="1" ht="31.5">
      <c r="A87" s="18" t="s">
        <v>541</v>
      </c>
      <c r="B87" s="14" t="s">
        <v>49</v>
      </c>
      <c r="C87" s="14">
        <v>600</v>
      </c>
      <c r="D87" s="26">
        <f>D88</f>
        <v>2550000</v>
      </c>
      <c r="E87" s="26">
        <f>E88</f>
        <v>0</v>
      </c>
      <c r="F87" s="53">
        <f t="shared" si="0"/>
        <v>2550000</v>
      </c>
    </row>
    <row r="88" spans="1:6" s="10" customFormat="1" ht="16.5">
      <c r="A88" s="18" t="s">
        <v>542</v>
      </c>
      <c r="B88" s="14" t="s">
        <v>49</v>
      </c>
      <c r="C88" s="14">
        <v>610</v>
      </c>
      <c r="D88" s="26">
        <v>2550000</v>
      </c>
      <c r="E88" s="26">
        <v>0</v>
      </c>
      <c r="F88" s="53">
        <f t="shared" si="0"/>
        <v>2550000</v>
      </c>
    </row>
    <row r="89" spans="1:6" s="10" customFormat="1" ht="31.5">
      <c r="A89" s="18" t="s">
        <v>50</v>
      </c>
      <c r="B89" s="14" t="s">
        <v>51</v>
      </c>
      <c r="C89" s="14"/>
      <c r="D89" s="53">
        <f>SUM(D90,D94)</f>
        <v>73600000</v>
      </c>
      <c r="E89" s="53">
        <f>SUM(E90,E94)</f>
        <v>0</v>
      </c>
      <c r="F89" s="53">
        <f t="shared" si="0"/>
        <v>73600000</v>
      </c>
    </row>
    <row r="90" spans="1:6" s="10" customFormat="1" ht="31.5">
      <c r="A90" s="18" t="s">
        <v>52</v>
      </c>
      <c r="B90" s="14" t="s">
        <v>53</v>
      </c>
      <c r="C90" s="14"/>
      <c r="D90" s="53">
        <f>D91</f>
        <v>72900000</v>
      </c>
      <c r="E90" s="53">
        <f>E91</f>
        <v>200000</v>
      </c>
      <c r="F90" s="53">
        <f t="shared" si="0"/>
        <v>73100000</v>
      </c>
    </row>
    <row r="91" spans="1:6" s="10" customFormat="1" ht="31.5">
      <c r="A91" s="18" t="s">
        <v>541</v>
      </c>
      <c r="B91" s="14" t="s">
        <v>53</v>
      </c>
      <c r="C91" s="14">
        <v>600</v>
      </c>
      <c r="D91" s="53">
        <f>D92+D93</f>
        <v>72900000</v>
      </c>
      <c r="E91" s="53">
        <f>E92+E93</f>
        <v>200000</v>
      </c>
      <c r="F91" s="53">
        <f t="shared" si="0"/>
        <v>73100000</v>
      </c>
    </row>
    <row r="92" spans="1:6" s="10" customFormat="1" ht="16.5">
      <c r="A92" s="18" t="s">
        <v>542</v>
      </c>
      <c r="B92" s="14" t="s">
        <v>53</v>
      </c>
      <c r="C92" s="14">
        <v>610</v>
      </c>
      <c r="D92" s="53">
        <v>72000000</v>
      </c>
      <c r="E92" s="53">
        <v>0</v>
      </c>
      <c r="F92" s="53">
        <f t="shared" si="0"/>
        <v>72000000</v>
      </c>
    </row>
    <row r="93" spans="1:6" s="10" customFormat="1" ht="16.5">
      <c r="A93" s="18" t="s">
        <v>47</v>
      </c>
      <c r="B93" s="14" t="s">
        <v>53</v>
      </c>
      <c r="C93" s="14">
        <v>620</v>
      </c>
      <c r="D93" s="53">
        <v>900000</v>
      </c>
      <c r="E93" s="53">
        <v>200000</v>
      </c>
      <c r="F93" s="53">
        <f t="shared" si="0"/>
        <v>1100000</v>
      </c>
    </row>
    <row r="94" spans="1:6" s="10" customFormat="1" ht="31.5">
      <c r="A94" s="18" t="s">
        <v>54</v>
      </c>
      <c r="B94" s="14" t="s">
        <v>55</v>
      </c>
      <c r="C94" s="14"/>
      <c r="D94" s="53">
        <f>D95</f>
        <v>700000</v>
      </c>
      <c r="E94" s="53">
        <f>E95</f>
        <v>-200000</v>
      </c>
      <c r="F94" s="53">
        <f t="shared" si="0"/>
        <v>500000</v>
      </c>
    </row>
    <row r="95" spans="1:6" s="10" customFormat="1" ht="31.5">
      <c r="A95" s="18" t="s">
        <v>541</v>
      </c>
      <c r="B95" s="14" t="s">
        <v>55</v>
      </c>
      <c r="C95" s="14">
        <v>600</v>
      </c>
      <c r="D95" s="53">
        <f>SUM(D96:D97)</f>
        <v>700000</v>
      </c>
      <c r="E95" s="53">
        <f>SUM(E96:E97)</f>
        <v>-200000</v>
      </c>
      <c r="F95" s="53">
        <f t="shared" si="0"/>
        <v>500000</v>
      </c>
    </row>
    <row r="96" spans="1:6" s="10" customFormat="1" ht="16.5">
      <c r="A96" s="18" t="s">
        <v>542</v>
      </c>
      <c r="B96" s="14" t="s">
        <v>55</v>
      </c>
      <c r="C96" s="14">
        <v>610</v>
      </c>
      <c r="D96" s="53">
        <v>500000</v>
      </c>
      <c r="E96" s="53">
        <v>0</v>
      </c>
      <c r="F96" s="53">
        <f t="shared" si="0"/>
        <v>500000</v>
      </c>
    </row>
    <row r="97" spans="1:6" s="10" customFormat="1" ht="16.5">
      <c r="A97" s="18" t="s">
        <v>47</v>
      </c>
      <c r="B97" s="14" t="s">
        <v>55</v>
      </c>
      <c r="C97" s="14">
        <v>620</v>
      </c>
      <c r="D97" s="53">
        <v>200000</v>
      </c>
      <c r="E97" s="53">
        <v>-200000</v>
      </c>
      <c r="F97" s="53">
        <f t="shared" si="0"/>
        <v>0</v>
      </c>
    </row>
    <row r="98" spans="1:6" s="10" customFormat="1" ht="47.25">
      <c r="A98" s="13" t="s">
        <v>56</v>
      </c>
      <c r="B98" s="14" t="s">
        <v>57</v>
      </c>
      <c r="C98" s="14"/>
      <c r="D98" s="53">
        <f>SUM(D99,D102)</f>
        <v>12696607</v>
      </c>
      <c r="E98" s="53">
        <f>SUM(E99,E102)</f>
        <v>0</v>
      </c>
      <c r="F98" s="53">
        <f t="shared" si="0"/>
        <v>12696607</v>
      </c>
    </row>
    <row r="99" spans="1:6" s="10" customFormat="1" ht="31.5">
      <c r="A99" s="13" t="s">
        <v>58</v>
      </c>
      <c r="B99" s="14" t="s">
        <v>59</v>
      </c>
      <c r="C99" s="14"/>
      <c r="D99" s="26">
        <f>D100</f>
        <v>12646607</v>
      </c>
      <c r="E99" s="26">
        <f>E100</f>
        <v>0</v>
      </c>
      <c r="F99" s="53">
        <f t="shared" si="0"/>
        <v>12646607</v>
      </c>
    </row>
    <row r="100" spans="1:6" s="10" customFormat="1" ht="31.5">
      <c r="A100" s="18" t="s">
        <v>541</v>
      </c>
      <c r="B100" s="14" t="s">
        <v>59</v>
      </c>
      <c r="C100" s="14">
        <v>600</v>
      </c>
      <c r="D100" s="26">
        <f>D101</f>
        <v>12646607</v>
      </c>
      <c r="E100" s="26">
        <f>E101</f>
        <v>0</v>
      </c>
      <c r="F100" s="53">
        <f t="shared" si="0"/>
        <v>12646607</v>
      </c>
    </row>
    <row r="101" spans="1:6" s="10" customFormat="1" ht="16.5">
      <c r="A101" s="18" t="s">
        <v>542</v>
      </c>
      <c r="B101" s="14" t="s">
        <v>59</v>
      </c>
      <c r="C101" s="14">
        <v>610</v>
      </c>
      <c r="D101" s="26">
        <v>12646607</v>
      </c>
      <c r="E101" s="53">
        <v>0</v>
      </c>
      <c r="F101" s="53">
        <f t="shared" si="0"/>
        <v>12646607</v>
      </c>
    </row>
    <row r="102" spans="1:6" s="10" customFormat="1" ht="31.5">
      <c r="A102" s="13" t="s">
        <v>60</v>
      </c>
      <c r="B102" s="14" t="s">
        <v>61</v>
      </c>
      <c r="C102" s="14"/>
      <c r="D102" s="26">
        <f>D103</f>
        <v>50000</v>
      </c>
      <c r="E102" s="26">
        <f>E103</f>
        <v>0</v>
      </c>
      <c r="F102" s="53">
        <f t="shared" si="0"/>
        <v>50000</v>
      </c>
    </row>
    <row r="103" spans="1:6" s="10" customFormat="1" ht="31.5">
      <c r="A103" s="18" t="s">
        <v>541</v>
      </c>
      <c r="B103" s="14" t="s">
        <v>61</v>
      </c>
      <c r="C103" s="14">
        <v>600</v>
      </c>
      <c r="D103" s="26">
        <f>D104</f>
        <v>50000</v>
      </c>
      <c r="E103" s="26">
        <f>E104</f>
        <v>0</v>
      </c>
      <c r="F103" s="53">
        <f t="shared" si="0"/>
        <v>50000</v>
      </c>
    </row>
    <row r="104" spans="1:6" s="10" customFormat="1" ht="16.5">
      <c r="A104" s="18" t="s">
        <v>542</v>
      </c>
      <c r="B104" s="14" t="s">
        <v>61</v>
      </c>
      <c r="C104" s="14">
        <v>610</v>
      </c>
      <c r="D104" s="26">
        <v>50000</v>
      </c>
      <c r="E104" s="26">
        <v>0</v>
      </c>
      <c r="F104" s="53">
        <f t="shared" si="0"/>
        <v>50000</v>
      </c>
    </row>
    <row r="105" spans="1:6" s="10" customFormat="1" ht="31.5">
      <c r="A105" s="13" t="s">
        <v>62</v>
      </c>
      <c r="B105" s="14" t="s">
        <v>63</v>
      </c>
      <c r="C105" s="14"/>
      <c r="D105" s="53">
        <f>SUM(D106,D113,D120,D123,D126)</f>
        <v>70326064</v>
      </c>
      <c r="E105" s="53">
        <f>SUM(E106,E113,E120,E123,E126)</f>
        <v>0</v>
      </c>
      <c r="F105" s="53">
        <f t="shared" si="0"/>
        <v>70326064</v>
      </c>
    </row>
    <row r="106" spans="1:6" s="10" customFormat="1" ht="31.5">
      <c r="A106" s="13" t="s">
        <v>64</v>
      </c>
      <c r="B106" s="14" t="s">
        <v>65</v>
      </c>
      <c r="C106" s="14"/>
      <c r="D106" s="26">
        <f>SUM(D107,D109,D111)</f>
        <v>12650000</v>
      </c>
      <c r="E106" s="26">
        <f>SUM(E107,E109,E111)</f>
        <v>0</v>
      </c>
      <c r="F106" s="53">
        <f t="shared" si="0"/>
        <v>12650000</v>
      </c>
    </row>
    <row r="107" spans="1:6" s="10" customFormat="1" ht="78.75">
      <c r="A107" s="22" t="s">
        <v>66</v>
      </c>
      <c r="B107" s="14" t="s">
        <v>65</v>
      </c>
      <c r="C107" s="23" t="s">
        <v>67</v>
      </c>
      <c r="D107" s="26">
        <f>D108</f>
        <v>11840000</v>
      </c>
      <c r="E107" s="26">
        <f>E108</f>
        <v>0</v>
      </c>
      <c r="F107" s="53">
        <f t="shared" si="0"/>
        <v>11840000</v>
      </c>
    </row>
    <row r="108" spans="1:6" s="10" customFormat="1" ht="31.5">
      <c r="A108" s="22" t="s">
        <v>68</v>
      </c>
      <c r="B108" s="14" t="s">
        <v>65</v>
      </c>
      <c r="C108" s="23" t="s">
        <v>69</v>
      </c>
      <c r="D108" s="26">
        <v>11840000</v>
      </c>
      <c r="E108" s="26">
        <v>0</v>
      </c>
      <c r="F108" s="53">
        <f t="shared" si="0"/>
        <v>11840000</v>
      </c>
    </row>
    <row r="109" spans="1:6" s="10" customFormat="1" ht="31.5">
      <c r="A109" s="20" t="s">
        <v>7</v>
      </c>
      <c r="B109" s="14" t="s">
        <v>65</v>
      </c>
      <c r="C109" s="23" t="s">
        <v>70</v>
      </c>
      <c r="D109" s="26">
        <f>D110</f>
        <v>800000</v>
      </c>
      <c r="E109" s="26">
        <f>E110</f>
        <v>0</v>
      </c>
      <c r="F109" s="53">
        <f t="shared" si="0"/>
        <v>800000</v>
      </c>
    </row>
    <row r="110" spans="1:6" s="10" customFormat="1" ht="31.5">
      <c r="A110" s="20" t="s">
        <v>8</v>
      </c>
      <c r="B110" s="14" t="s">
        <v>65</v>
      </c>
      <c r="C110" s="23" t="s">
        <v>71</v>
      </c>
      <c r="D110" s="26">
        <v>800000</v>
      </c>
      <c r="E110" s="26">
        <v>0</v>
      </c>
      <c r="F110" s="53">
        <f t="shared" si="0"/>
        <v>800000</v>
      </c>
    </row>
    <row r="111" spans="1:6" s="10" customFormat="1" ht="16.5">
      <c r="A111" s="20" t="s">
        <v>544</v>
      </c>
      <c r="B111" s="14" t="s">
        <v>65</v>
      </c>
      <c r="C111" s="23" t="s">
        <v>72</v>
      </c>
      <c r="D111" s="26">
        <f>D112</f>
        <v>10000</v>
      </c>
      <c r="E111" s="26">
        <f>E112</f>
        <v>0</v>
      </c>
      <c r="F111" s="53">
        <f t="shared" si="0"/>
        <v>10000</v>
      </c>
    </row>
    <row r="112" spans="1:6" s="10" customFormat="1" ht="16.5">
      <c r="A112" s="20" t="s">
        <v>73</v>
      </c>
      <c r="B112" s="14" t="s">
        <v>65</v>
      </c>
      <c r="C112" s="23" t="s">
        <v>74</v>
      </c>
      <c r="D112" s="26">
        <v>10000</v>
      </c>
      <c r="E112" s="26">
        <v>0</v>
      </c>
      <c r="F112" s="53">
        <f t="shared" si="0"/>
        <v>10000</v>
      </c>
    </row>
    <row r="113" spans="1:6" s="10" customFormat="1" ht="31.5">
      <c r="A113" s="13" t="s">
        <v>75</v>
      </c>
      <c r="B113" s="14" t="s">
        <v>76</v>
      </c>
      <c r="C113" s="14"/>
      <c r="D113" s="26">
        <f>SUM(D114,D116,D118)</f>
        <v>54305000</v>
      </c>
      <c r="E113" s="26">
        <f>SUM(E114,E116,E118)</f>
        <v>0</v>
      </c>
      <c r="F113" s="53">
        <f t="shared" si="0"/>
        <v>54305000</v>
      </c>
    </row>
    <row r="114" spans="1:6" s="10" customFormat="1" ht="78.75">
      <c r="A114" s="22" t="s">
        <v>66</v>
      </c>
      <c r="B114" s="14" t="s">
        <v>76</v>
      </c>
      <c r="C114" s="14">
        <v>100</v>
      </c>
      <c r="D114" s="26">
        <f>D115</f>
        <v>48880000</v>
      </c>
      <c r="E114" s="26">
        <f>E115</f>
        <v>0</v>
      </c>
      <c r="F114" s="53">
        <f t="shared" si="0"/>
        <v>48880000</v>
      </c>
    </row>
    <row r="115" spans="1:6" s="10" customFormat="1" ht="16.5">
      <c r="A115" s="22" t="s">
        <v>77</v>
      </c>
      <c r="B115" s="14" t="s">
        <v>76</v>
      </c>
      <c r="C115" s="14">
        <v>110</v>
      </c>
      <c r="D115" s="26">
        <v>48880000</v>
      </c>
      <c r="E115" s="26">
        <v>0</v>
      </c>
      <c r="F115" s="53">
        <f t="shared" si="0"/>
        <v>48880000</v>
      </c>
    </row>
    <row r="116" spans="1:6" s="10" customFormat="1" ht="31.5">
      <c r="A116" s="20" t="s">
        <v>7</v>
      </c>
      <c r="B116" s="14" t="s">
        <v>76</v>
      </c>
      <c r="C116" s="14">
        <v>200</v>
      </c>
      <c r="D116" s="26">
        <f>D117</f>
        <v>5400000</v>
      </c>
      <c r="E116" s="26">
        <f>E117</f>
        <v>-70687</v>
      </c>
      <c r="F116" s="53">
        <f t="shared" si="0"/>
        <v>5329313</v>
      </c>
    </row>
    <row r="117" spans="1:6" s="10" customFormat="1" ht="31.5">
      <c r="A117" s="20" t="s">
        <v>8</v>
      </c>
      <c r="B117" s="14" t="s">
        <v>76</v>
      </c>
      <c r="C117" s="14">
        <v>240</v>
      </c>
      <c r="D117" s="26">
        <v>5400000</v>
      </c>
      <c r="E117" s="26">
        <v>-70687</v>
      </c>
      <c r="F117" s="53">
        <f t="shared" si="0"/>
        <v>5329313</v>
      </c>
    </row>
    <row r="118" spans="1:6" s="10" customFormat="1" ht="16.5">
      <c r="A118" s="20" t="s">
        <v>544</v>
      </c>
      <c r="B118" s="14" t="s">
        <v>76</v>
      </c>
      <c r="C118" s="14">
        <v>800</v>
      </c>
      <c r="D118" s="26">
        <f>D119</f>
        <v>25000</v>
      </c>
      <c r="E118" s="26">
        <f>E119</f>
        <v>70687</v>
      </c>
      <c r="F118" s="53">
        <f t="shared" si="0"/>
        <v>95687</v>
      </c>
    </row>
    <row r="119" spans="1:6" s="10" customFormat="1" ht="16.5">
      <c r="A119" s="20" t="s">
        <v>73</v>
      </c>
      <c r="B119" s="14" t="s">
        <v>76</v>
      </c>
      <c r="C119" s="14">
        <v>850</v>
      </c>
      <c r="D119" s="57">
        <v>25000</v>
      </c>
      <c r="E119" s="57">
        <v>70687</v>
      </c>
      <c r="F119" s="53">
        <f t="shared" si="0"/>
        <v>95687</v>
      </c>
    </row>
    <row r="120" spans="1:6" s="10" customFormat="1" ht="31.5">
      <c r="A120" s="13" t="s">
        <v>78</v>
      </c>
      <c r="B120" s="14" t="s">
        <v>79</v>
      </c>
      <c r="C120" s="14"/>
      <c r="D120" s="26">
        <f>D121</f>
        <v>1200000</v>
      </c>
      <c r="E120" s="26">
        <f>E121</f>
        <v>0</v>
      </c>
      <c r="F120" s="53">
        <f t="shared" si="0"/>
        <v>1200000</v>
      </c>
    </row>
    <row r="121" spans="1:6" s="10" customFormat="1" ht="16.5">
      <c r="A121" s="18" t="s">
        <v>9</v>
      </c>
      <c r="B121" s="14" t="s">
        <v>79</v>
      </c>
      <c r="C121" s="14">
        <v>300</v>
      </c>
      <c r="D121" s="53">
        <f>D122</f>
        <v>1200000</v>
      </c>
      <c r="E121" s="53">
        <f>E122</f>
        <v>0</v>
      </c>
      <c r="F121" s="53">
        <f t="shared" si="0"/>
        <v>1200000</v>
      </c>
    </row>
    <row r="122" spans="1:6" s="10" customFormat="1" ht="31.5">
      <c r="A122" s="18" t="s">
        <v>80</v>
      </c>
      <c r="B122" s="14" t="s">
        <v>79</v>
      </c>
      <c r="C122" s="14">
        <v>330</v>
      </c>
      <c r="D122" s="26">
        <v>1200000</v>
      </c>
      <c r="E122" s="26">
        <v>0</v>
      </c>
      <c r="F122" s="53">
        <f t="shared" si="0"/>
        <v>1200000</v>
      </c>
    </row>
    <row r="123" spans="1:6" s="10" customFormat="1" ht="16.5">
      <c r="A123" s="18" t="s">
        <v>81</v>
      </c>
      <c r="B123" s="14" t="s">
        <v>82</v>
      </c>
      <c r="C123" s="14"/>
      <c r="D123" s="26">
        <f>D124</f>
        <v>300000</v>
      </c>
      <c r="E123" s="26">
        <f>E124</f>
        <v>0</v>
      </c>
      <c r="F123" s="53">
        <f t="shared" si="0"/>
        <v>300000</v>
      </c>
    </row>
    <row r="124" spans="1:6" s="10" customFormat="1" ht="31.5">
      <c r="A124" s="18" t="s">
        <v>541</v>
      </c>
      <c r="B124" s="14" t="s">
        <v>82</v>
      </c>
      <c r="C124" s="14">
        <v>600</v>
      </c>
      <c r="D124" s="26">
        <f>D125</f>
        <v>300000</v>
      </c>
      <c r="E124" s="26">
        <f>E125</f>
        <v>0</v>
      </c>
      <c r="F124" s="53">
        <f t="shared" si="0"/>
        <v>300000</v>
      </c>
    </row>
    <row r="125" spans="1:6" s="10" customFormat="1" ht="16.5">
      <c r="A125" s="18" t="s">
        <v>542</v>
      </c>
      <c r="B125" s="14" t="s">
        <v>82</v>
      </c>
      <c r="C125" s="14">
        <v>610</v>
      </c>
      <c r="D125" s="26">
        <v>300000</v>
      </c>
      <c r="E125" s="26">
        <v>0</v>
      </c>
      <c r="F125" s="53">
        <f t="shared" si="0"/>
        <v>300000</v>
      </c>
    </row>
    <row r="126" spans="1:6" s="10" customFormat="1" ht="16.5">
      <c r="A126" s="15" t="s">
        <v>83</v>
      </c>
      <c r="B126" s="16" t="s">
        <v>84</v>
      </c>
      <c r="C126" s="16"/>
      <c r="D126" s="54">
        <f>SUM(D127,D129)</f>
        <v>1871064</v>
      </c>
      <c r="E126" s="54">
        <f>SUM(E127,E129)</f>
        <v>0</v>
      </c>
      <c r="F126" s="53">
        <f t="shared" si="0"/>
        <v>1871064</v>
      </c>
    </row>
    <row r="127" spans="1:6" s="10" customFormat="1" ht="31.5">
      <c r="A127" s="21" t="s">
        <v>7</v>
      </c>
      <c r="B127" s="16" t="s">
        <v>84</v>
      </c>
      <c r="C127" s="24" t="s">
        <v>70</v>
      </c>
      <c r="D127" s="55">
        <f>D128</f>
        <v>18525</v>
      </c>
      <c r="E127" s="55">
        <f>E128</f>
        <v>0</v>
      </c>
      <c r="F127" s="53">
        <f t="shared" si="0"/>
        <v>18525</v>
      </c>
    </row>
    <row r="128" spans="1:6" s="10" customFormat="1" ht="31.5">
      <c r="A128" s="21" t="s">
        <v>8</v>
      </c>
      <c r="B128" s="16" t="s">
        <v>84</v>
      </c>
      <c r="C128" s="24" t="s">
        <v>71</v>
      </c>
      <c r="D128" s="55">
        <v>18525</v>
      </c>
      <c r="E128" s="55">
        <v>0</v>
      </c>
      <c r="F128" s="53">
        <f t="shared" si="0"/>
        <v>18525</v>
      </c>
    </row>
    <row r="129" spans="1:6" s="10" customFormat="1" ht="16.5">
      <c r="A129" s="17" t="s">
        <v>9</v>
      </c>
      <c r="B129" s="16" t="s">
        <v>84</v>
      </c>
      <c r="C129" s="16">
        <v>300</v>
      </c>
      <c r="D129" s="54">
        <f>D130</f>
        <v>1852539</v>
      </c>
      <c r="E129" s="54">
        <f>E130</f>
        <v>0</v>
      </c>
      <c r="F129" s="53">
        <f t="shared" si="0"/>
        <v>1852539</v>
      </c>
    </row>
    <row r="130" spans="1:6" s="10" customFormat="1" ht="31.5">
      <c r="A130" s="17" t="s">
        <v>10</v>
      </c>
      <c r="B130" s="16" t="s">
        <v>84</v>
      </c>
      <c r="C130" s="16">
        <v>320</v>
      </c>
      <c r="D130" s="55">
        <v>1852539</v>
      </c>
      <c r="E130" s="55">
        <v>0</v>
      </c>
      <c r="F130" s="53">
        <f t="shared" si="0"/>
        <v>1852539</v>
      </c>
    </row>
    <row r="131" spans="1:6" s="10" customFormat="1" ht="31.5">
      <c r="A131" s="11" t="s">
        <v>85</v>
      </c>
      <c r="B131" s="12" t="s">
        <v>86</v>
      </c>
      <c r="C131" s="12"/>
      <c r="D131" s="52">
        <f>SUM(D132,D163,D175,D188,D198)</f>
        <v>465606744.42999995</v>
      </c>
      <c r="E131" s="52">
        <f>SUM(E132,E163,E175,E188,E198)</f>
        <v>7101060.88</v>
      </c>
      <c r="F131" s="52">
        <f t="shared" si="0"/>
        <v>472707805.30999994</v>
      </c>
    </row>
    <row r="132" spans="1:6" s="10" customFormat="1" ht="31.5">
      <c r="A132" s="13" t="s">
        <v>87</v>
      </c>
      <c r="B132" s="14" t="s">
        <v>88</v>
      </c>
      <c r="C132" s="14"/>
      <c r="D132" s="53">
        <f>SUM(D133,D137,D141,D150,D153,D157,D160,D145)</f>
        <v>123900000</v>
      </c>
      <c r="E132" s="53">
        <f>SUM(E133,E137,E141,E150,E153,E157,E160,E145)</f>
        <v>1200000</v>
      </c>
      <c r="F132" s="53">
        <f t="shared" si="0"/>
        <v>125100000</v>
      </c>
    </row>
    <row r="133" spans="1:6" s="10" customFormat="1" ht="16.5">
      <c r="A133" s="13" t="s">
        <v>89</v>
      </c>
      <c r="B133" s="14" t="s">
        <v>90</v>
      </c>
      <c r="C133" s="14"/>
      <c r="D133" s="53">
        <f>SUM(D134)</f>
        <v>4150000</v>
      </c>
      <c r="E133" s="53">
        <f>SUM(E134)</f>
        <v>200000</v>
      </c>
      <c r="F133" s="53">
        <f t="shared" si="0"/>
        <v>4350000</v>
      </c>
    </row>
    <row r="134" spans="1:6" s="10" customFormat="1" ht="31.5">
      <c r="A134" s="18" t="s">
        <v>541</v>
      </c>
      <c r="B134" s="14" t="s">
        <v>90</v>
      </c>
      <c r="C134" s="14">
        <v>600</v>
      </c>
      <c r="D134" s="53">
        <f>SUM(D135:D136)</f>
        <v>4150000</v>
      </c>
      <c r="E134" s="53">
        <f>SUM(E135:E136)</f>
        <v>200000</v>
      </c>
      <c r="F134" s="53">
        <f t="shared" si="0"/>
        <v>4350000</v>
      </c>
    </row>
    <row r="135" spans="1:6" s="10" customFormat="1" ht="16.5">
      <c r="A135" s="18" t="s">
        <v>542</v>
      </c>
      <c r="B135" s="14" t="s">
        <v>90</v>
      </c>
      <c r="C135" s="14">
        <v>610</v>
      </c>
      <c r="D135" s="53">
        <v>3150000</v>
      </c>
      <c r="E135" s="53">
        <f>200000-160000</f>
        <v>40000</v>
      </c>
      <c r="F135" s="53">
        <f t="shared" si="0"/>
        <v>3190000</v>
      </c>
    </row>
    <row r="136" spans="1:6" s="10" customFormat="1" ht="16.5">
      <c r="A136" s="18" t="s">
        <v>47</v>
      </c>
      <c r="B136" s="14" t="s">
        <v>90</v>
      </c>
      <c r="C136" s="14">
        <v>620</v>
      </c>
      <c r="D136" s="53">
        <v>1000000</v>
      </c>
      <c r="E136" s="53">
        <f>160000</f>
        <v>160000</v>
      </c>
      <c r="F136" s="53">
        <f t="shared" si="0"/>
        <v>1160000</v>
      </c>
    </row>
    <row r="137" spans="1:6" s="10" customFormat="1" ht="31.5">
      <c r="A137" s="13" t="s">
        <v>91</v>
      </c>
      <c r="B137" s="14" t="s">
        <v>92</v>
      </c>
      <c r="C137" s="14"/>
      <c r="D137" s="53">
        <f>D138</f>
        <v>109860000</v>
      </c>
      <c r="E137" s="53">
        <f>E138</f>
        <v>0</v>
      </c>
      <c r="F137" s="53">
        <f t="shared" si="0"/>
        <v>109860000</v>
      </c>
    </row>
    <row r="138" spans="1:6" s="10" customFormat="1" ht="31.5">
      <c r="A138" s="18" t="s">
        <v>541</v>
      </c>
      <c r="B138" s="14" t="s">
        <v>92</v>
      </c>
      <c r="C138" s="14">
        <v>600</v>
      </c>
      <c r="D138" s="53">
        <f>D139+D140</f>
        <v>109860000</v>
      </c>
      <c r="E138" s="53">
        <f>E139+E140</f>
        <v>0</v>
      </c>
      <c r="F138" s="53">
        <f t="shared" si="0"/>
        <v>109860000</v>
      </c>
    </row>
    <row r="139" spans="1:6" s="10" customFormat="1" ht="16.5">
      <c r="A139" s="18" t="s">
        <v>542</v>
      </c>
      <c r="B139" s="14" t="s">
        <v>92</v>
      </c>
      <c r="C139" s="14">
        <v>610</v>
      </c>
      <c r="D139" s="26">
        <v>62360000</v>
      </c>
      <c r="E139" s="26">
        <v>0</v>
      </c>
      <c r="F139" s="53">
        <f t="shared" si="0"/>
        <v>62360000</v>
      </c>
    </row>
    <row r="140" spans="1:6" s="10" customFormat="1" ht="16.5">
      <c r="A140" s="18" t="s">
        <v>47</v>
      </c>
      <c r="B140" s="14" t="s">
        <v>92</v>
      </c>
      <c r="C140" s="14">
        <v>620</v>
      </c>
      <c r="D140" s="53">
        <v>47500000</v>
      </c>
      <c r="E140" s="53">
        <v>0</v>
      </c>
      <c r="F140" s="53">
        <f t="shared" si="0"/>
        <v>47500000</v>
      </c>
    </row>
    <row r="141" spans="1:6" s="10" customFormat="1" ht="47.25">
      <c r="A141" s="13" t="s">
        <v>93</v>
      </c>
      <c r="B141" s="14" t="s">
        <v>94</v>
      </c>
      <c r="C141" s="14"/>
      <c r="D141" s="53">
        <f>D142</f>
        <v>1000000</v>
      </c>
      <c r="E141" s="53">
        <f>E142</f>
        <v>0</v>
      </c>
      <c r="F141" s="53">
        <f t="shared" si="0"/>
        <v>1000000</v>
      </c>
    </row>
    <row r="142" spans="1:6" s="10" customFormat="1" ht="31.5">
      <c r="A142" s="18" t="s">
        <v>541</v>
      </c>
      <c r="B142" s="14" t="s">
        <v>94</v>
      </c>
      <c r="C142" s="14">
        <v>600</v>
      </c>
      <c r="D142" s="53">
        <f>D143+D144</f>
        <v>1000000</v>
      </c>
      <c r="E142" s="53">
        <f>E143+E144</f>
        <v>0</v>
      </c>
      <c r="F142" s="53">
        <f t="shared" si="0"/>
        <v>1000000</v>
      </c>
    </row>
    <row r="143" spans="1:6" s="10" customFormat="1" ht="16.5">
      <c r="A143" s="18" t="s">
        <v>542</v>
      </c>
      <c r="B143" s="14" t="s">
        <v>94</v>
      </c>
      <c r="C143" s="14">
        <v>610</v>
      </c>
      <c r="D143" s="53">
        <v>500000</v>
      </c>
      <c r="E143" s="53"/>
      <c r="F143" s="53">
        <f t="shared" si="0"/>
        <v>500000</v>
      </c>
    </row>
    <row r="144" spans="1:6" s="10" customFormat="1" ht="16.5">
      <c r="A144" s="18" t="s">
        <v>47</v>
      </c>
      <c r="B144" s="14" t="s">
        <v>94</v>
      </c>
      <c r="C144" s="14">
        <v>620</v>
      </c>
      <c r="D144" s="53">
        <v>500000</v>
      </c>
      <c r="E144" s="53">
        <v>0</v>
      </c>
      <c r="F144" s="53">
        <f t="shared" si="0"/>
        <v>500000</v>
      </c>
    </row>
    <row r="145" spans="1:6" s="10" customFormat="1" ht="16.5">
      <c r="A145" s="13" t="s">
        <v>95</v>
      </c>
      <c r="B145" s="14" t="s">
        <v>96</v>
      </c>
      <c r="C145" s="14"/>
      <c r="D145" s="53">
        <f>D148+D146</f>
        <v>1500000</v>
      </c>
      <c r="E145" s="53">
        <f>E148+E146</f>
        <v>1000000</v>
      </c>
      <c r="F145" s="53">
        <f t="shared" si="0"/>
        <v>2500000</v>
      </c>
    </row>
    <row r="146" spans="1:6" s="10" customFormat="1" ht="31.5">
      <c r="A146" s="21" t="s">
        <v>7</v>
      </c>
      <c r="B146" s="14" t="s">
        <v>96</v>
      </c>
      <c r="C146" s="14">
        <v>200</v>
      </c>
      <c r="D146" s="53">
        <f>D147</f>
        <v>0</v>
      </c>
      <c r="E146" s="53">
        <f>E147</f>
        <v>1000000</v>
      </c>
      <c r="F146" s="53">
        <f t="shared" si="0"/>
        <v>1000000</v>
      </c>
    </row>
    <row r="147" spans="1:6" s="10" customFormat="1" ht="31.5">
      <c r="A147" s="21" t="s">
        <v>8</v>
      </c>
      <c r="B147" s="14" t="s">
        <v>96</v>
      </c>
      <c r="C147" s="14">
        <v>240</v>
      </c>
      <c r="D147" s="53">
        <v>0</v>
      </c>
      <c r="E147" s="53">
        <v>1000000</v>
      </c>
      <c r="F147" s="53">
        <f t="shared" si="0"/>
        <v>1000000</v>
      </c>
    </row>
    <row r="148" spans="1:6" s="10" customFormat="1" ht="16.5">
      <c r="A148" s="18" t="s">
        <v>544</v>
      </c>
      <c r="B148" s="14" t="s">
        <v>96</v>
      </c>
      <c r="C148" s="14">
        <v>800</v>
      </c>
      <c r="D148" s="53">
        <f>D149</f>
        <v>1500000</v>
      </c>
      <c r="E148" s="53">
        <f>E149</f>
        <v>0</v>
      </c>
      <c r="F148" s="53">
        <f t="shared" si="0"/>
        <v>1500000</v>
      </c>
    </row>
    <row r="149" spans="1:6" s="10" customFormat="1" ht="47.25">
      <c r="A149" s="18" t="s">
        <v>545</v>
      </c>
      <c r="B149" s="14" t="s">
        <v>96</v>
      </c>
      <c r="C149" s="14">
        <v>810</v>
      </c>
      <c r="D149" s="53">
        <v>1500000</v>
      </c>
      <c r="E149" s="53">
        <v>0</v>
      </c>
      <c r="F149" s="53">
        <f t="shared" si="0"/>
        <v>1500000</v>
      </c>
    </row>
    <row r="150" spans="1:6" s="10" customFormat="1" ht="47.25">
      <c r="A150" s="13" t="s">
        <v>97</v>
      </c>
      <c r="B150" s="14" t="s">
        <v>98</v>
      </c>
      <c r="C150" s="14"/>
      <c r="D150" s="53">
        <f>D151</f>
        <v>6390000</v>
      </c>
      <c r="E150" s="53">
        <f>E151</f>
        <v>0</v>
      </c>
      <c r="F150" s="53">
        <f t="shared" si="0"/>
        <v>6390000</v>
      </c>
    </row>
    <row r="151" spans="1:6" s="10" customFormat="1" ht="16.5">
      <c r="A151" s="18" t="s">
        <v>544</v>
      </c>
      <c r="B151" s="14" t="s">
        <v>98</v>
      </c>
      <c r="C151" s="14">
        <v>800</v>
      </c>
      <c r="D151" s="53">
        <f>D152</f>
        <v>6390000</v>
      </c>
      <c r="E151" s="53">
        <f>E152</f>
        <v>0</v>
      </c>
      <c r="F151" s="53">
        <f t="shared" si="0"/>
        <v>6390000</v>
      </c>
    </row>
    <row r="152" spans="1:6" s="10" customFormat="1" ht="47.25">
      <c r="A152" s="18" t="s">
        <v>545</v>
      </c>
      <c r="B152" s="14" t="s">
        <v>98</v>
      </c>
      <c r="C152" s="14">
        <v>810</v>
      </c>
      <c r="D152" s="53">
        <v>6390000</v>
      </c>
      <c r="E152" s="53">
        <v>0</v>
      </c>
      <c r="F152" s="53">
        <f t="shared" si="0"/>
        <v>6390000</v>
      </c>
    </row>
    <row r="153" spans="1:6" s="10" customFormat="1" ht="31.5">
      <c r="A153" s="18" t="s">
        <v>99</v>
      </c>
      <c r="B153" s="14" t="s">
        <v>100</v>
      </c>
      <c r="C153" s="14"/>
      <c r="D153" s="53">
        <f>D154</f>
        <v>300000</v>
      </c>
      <c r="E153" s="53">
        <f>E154</f>
        <v>0</v>
      </c>
      <c r="F153" s="56">
        <f t="shared" si="0"/>
        <v>300000</v>
      </c>
    </row>
    <row r="154" spans="1:6" s="10" customFormat="1" ht="31.5">
      <c r="A154" s="18" t="s">
        <v>541</v>
      </c>
      <c r="B154" s="14" t="s">
        <v>100</v>
      </c>
      <c r="C154" s="14">
        <v>600</v>
      </c>
      <c r="D154" s="53">
        <f>D155+D156</f>
        <v>300000</v>
      </c>
      <c r="E154" s="53">
        <f>E155+E156</f>
        <v>0</v>
      </c>
      <c r="F154" s="27">
        <f t="shared" si="0"/>
        <v>300000</v>
      </c>
    </row>
    <row r="155" spans="1:6" s="10" customFormat="1" ht="16.5">
      <c r="A155" s="18" t="s">
        <v>542</v>
      </c>
      <c r="B155" s="14" t="s">
        <v>100</v>
      </c>
      <c r="C155" s="14">
        <v>610</v>
      </c>
      <c r="D155" s="53">
        <v>200000</v>
      </c>
      <c r="E155" s="53">
        <v>0</v>
      </c>
      <c r="F155" s="27">
        <f t="shared" si="0"/>
        <v>200000</v>
      </c>
    </row>
    <row r="156" spans="1:6" s="10" customFormat="1" ht="16.5">
      <c r="A156" s="18" t="s">
        <v>47</v>
      </c>
      <c r="B156" s="14" t="s">
        <v>100</v>
      </c>
      <c r="C156" s="14">
        <v>620</v>
      </c>
      <c r="D156" s="53">
        <v>100000</v>
      </c>
      <c r="E156" s="53">
        <v>0</v>
      </c>
      <c r="F156" s="27">
        <f t="shared" si="0"/>
        <v>100000</v>
      </c>
    </row>
    <row r="157" spans="1:6" s="10" customFormat="1" ht="31.5">
      <c r="A157" s="13" t="s">
        <v>101</v>
      </c>
      <c r="B157" s="14" t="s">
        <v>102</v>
      </c>
      <c r="C157" s="14"/>
      <c r="D157" s="26">
        <f>D158</f>
        <v>500000</v>
      </c>
      <c r="E157" s="26">
        <f>E158</f>
        <v>-50000</v>
      </c>
      <c r="F157" s="53">
        <f t="shared" si="0"/>
        <v>450000</v>
      </c>
    </row>
    <row r="158" spans="1:6" s="10" customFormat="1" ht="31.5">
      <c r="A158" s="18" t="s">
        <v>541</v>
      </c>
      <c r="B158" s="14" t="s">
        <v>102</v>
      </c>
      <c r="C158" s="14">
        <v>600</v>
      </c>
      <c r="D158" s="26">
        <f>D159</f>
        <v>500000</v>
      </c>
      <c r="E158" s="26">
        <f>E159</f>
        <v>-50000</v>
      </c>
      <c r="F158" s="53">
        <f t="shared" si="0"/>
        <v>450000</v>
      </c>
    </row>
    <row r="159" spans="1:6" s="10" customFormat="1" ht="16.5">
      <c r="A159" s="18" t="s">
        <v>542</v>
      </c>
      <c r="B159" s="14" t="s">
        <v>102</v>
      </c>
      <c r="C159" s="14">
        <v>610</v>
      </c>
      <c r="D159" s="26">
        <v>500000</v>
      </c>
      <c r="E159" s="26">
        <v>-50000</v>
      </c>
      <c r="F159" s="53">
        <f t="shared" si="0"/>
        <v>450000</v>
      </c>
    </row>
    <row r="160" spans="1:6" s="10" customFormat="1" ht="16.5">
      <c r="A160" s="18" t="s">
        <v>103</v>
      </c>
      <c r="B160" s="14" t="s">
        <v>104</v>
      </c>
      <c r="C160" s="14"/>
      <c r="D160" s="26">
        <f>D161</f>
        <v>200000</v>
      </c>
      <c r="E160" s="26">
        <f>E161</f>
        <v>50000</v>
      </c>
      <c r="F160" s="53">
        <f t="shared" si="0"/>
        <v>250000</v>
      </c>
    </row>
    <row r="161" spans="1:6" s="10" customFormat="1" ht="31.5">
      <c r="A161" s="18" t="s">
        <v>541</v>
      </c>
      <c r="B161" s="14" t="s">
        <v>104</v>
      </c>
      <c r="C161" s="14">
        <v>600</v>
      </c>
      <c r="D161" s="26">
        <f>D162</f>
        <v>200000</v>
      </c>
      <c r="E161" s="26">
        <f>E162</f>
        <v>50000</v>
      </c>
      <c r="F161" s="53">
        <f t="shared" si="0"/>
        <v>250000</v>
      </c>
    </row>
    <row r="162" spans="1:6" s="10" customFormat="1" ht="16.5">
      <c r="A162" s="18" t="s">
        <v>542</v>
      </c>
      <c r="B162" s="14" t="s">
        <v>104</v>
      </c>
      <c r="C162" s="14">
        <v>610</v>
      </c>
      <c r="D162" s="26">
        <v>200000</v>
      </c>
      <c r="E162" s="26">
        <v>50000</v>
      </c>
      <c r="F162" s="53">
        <f t="shared" si="0"/>
        <v>250000</v>
      </c>
    </row>
    <row r="163" spans="1:6" s="10" customFormat="1" ht="31.5">
      <c r="A163" s="13" t="s">
        <v>105</v>
      </c>
      <c r="B163" s="14" t="s">
        <v>106</v>
      </c>
      <c r="C163" s="14"/>
      <c r="D163" s="53">
        <f>SUM(D164,D167,D172)</f>
        <v>56498377.059999995</v>
      </c>
      <c r="E163" s="53">
        <f>SUM(E164,E167,E172)</f>
        <v>979000</v>
      </c>
      <c r="F163" s="53">
        <f t="shared" si="0"/>
        <v>57477377.059999995</v>
      </c>
    </row>
    <row r="164" spans="1:6" s="10" customFormat="1" ht="31.5">
      <c r="A164" s="13" t="s">
        <v>107</v>
      </c>
      <c r="B164" s="14" t="s">
        <v>108</v>
      </c>
      <c r="C164" s="14"/>
      <c r="D164" s="53">
        <f>D165</f>
        <v>54550000</v>
      </c>
      <c r="E164" s="53">
        <f>E165</f>
        <v>0</v>
      </c>
      <c r="F164" s="53">
        <f t="shared" si="0"/>
        <v>54550000</v>
      </c>
    </row>
    <row r="165" spans="1:6" s="10" customFormat="1" ht="31.5">
      <c r="A165" s="18" t="s">
        <v>541</v>
      </c>
      <c r="B165" s="14" t="s">
        <v>108</v>
      </c>
      <c r="C165" s="14">
        <v>600</v>
      </c>
      <c r="D165" s="53">
        <f>D166</f>
        <v>54550000</v>
      </c>
      <c r="E165" s="53">
        <f>E166</f>
        <v>0</v>
      </c>
      <c r="F165" s="53">
        <f t="shared" si="0"/>
        <v>54550000</v>
      </c>
    </row>
    <row r="166" spans="1:6" s="10" customFormat="1" ht="16.5">
      <c r="A166" s="18" t="s">
        <v>542</v>
      </c>
      <c r="B166" s="14" t="s">
        <v>108</v>
      </c>
      <c r="C166" s="14">
        <v>610</v>
      </c>
      <c r="D166" s="53">
        <v>54550000</v>
      </c>
      <c r="E166" s="53"/>
      <c r="F166" s="53">
        <f t="shared" si="0"/>
        <v>54550000</v>
      </c>
    </row>
    <row r="167" spans="1:6" s="10" customFormat="1" ht="47.25">
      <c r="A167" s="13" t="s">
        <v>109</v>
      </c>
      <c r="B167" s="14" t="s">
        <v>110</v>
      </c>
      <c r="C167" s="14"/>
      <c r="D167" s="53">
        <f>D170+D168</f>
        <v>1498667.98</v>
      </c>
      <c r="E167" s="53">
        <f>E170+E168</f>
        <v>979000</v>
      </c>
      <c r="F167" s="53">
        <f t="shared" si="0"/>
        <v>2477667.98</v>
      </c>
    </row>
    <row r="168" spans="1:6" s="10" customFormat="1" ht="31.5">
      <c r="A168" s="21" t="s">
        <v>7</v>
      </c>
      <c r="B168" s="14" t="s">
        <v>110</v>
      </c>
      <c r="C168" s="14">
        <v>200</v>
      </c>
      <c r="D168" s="53">
        <f>D169</f>
        <v>0</v>
      </c>
      <c r="E168" s="53">
        <f>E169</f>
        <v>549000</v>
      </c>
      <c r="F168" s="53">
        <f t="shared" si="0"/>
        <v>549000</v>
      </c>
    </row>
    <row r="169" spans="1:6" s="10" customFormat="1" ht="31.5">
      <c r="A169" s="21" t="s">
        <v>8</v>
      </c>
      <c r="B169" s="14" t="s">
        <v>110</v>
      </c>
      <c r="C169" s="14">
        <v>240</v>
      </c>
      <c r="D169" s="53">
        <v>0</v>
      </c>
      <c r="E169" s="53">
        <f>549000</f>
        <v>549000</v>
      </c>
      <c r="F169" s="53">
        <f t="shared" si="0"/>
        <v>549000</v>
      </c>
    </row>
    <row r="170" spans="1:6" s="10" customFormat="1" ht="31.5">
      <c r="A170" s="18" t="s">
        <v>541</v>
      </c>
      <c r="B170" s="14" t="s">
        <v>110</v>
      </c>
      <c r="C170" s="14">
        <v>600</v>
      </c>
      <c r="D170" s="53">
        <f>D171</f>
        <v>1498667.98</v>
      </c>
      <c r="E170" s="53">
        <f>E171</f>
        <v>430000</v>
      </c>
      <c r="F170" s="53">
        <f t="shared" si="0"/>
        <v>1928667.98</v>
      </c>
    </row>
    <row r="171" spans="1:6" s="10" customFormat="1" ht="16.5">
      <c r="A171" s="18" t="s">
        <v>542</v>
      </c>
      <c r="B171" s="14" t="s">
        <v>110</v>
      </c>
      <c r="C171" s="14">
        <v>610</v>
      </c>
      <c r="D171" s="53">
        <f>1500000-1332.02</f>
        <v>1498667.98</v>
      </c>
      <c r="E171" s="53">
        <f>130000+300000</f>
        <v>430000</v>
      </c>
      <c r="F171" s="53">
        <f t="shared" si="0"/>
        <v>1928667.98</v>
      </c>
    </row>
    <row r="172" spans="1:6" s="10" customFormat="1" ht="47.25">
      <c r="A172" s="17" t="s">
        <v>111</v>
      </c>
      <c r="B172" s="16" t="s">
        <v>112</v>
      </c>
      <c r="C172" s="16"/>
      <c r="D172" s="54">
        <f>D173</f>
        <v>449709.07999999996</v>
      </c>
      <c r="E172" s="54">
        <f>E173</f>
        <v>0</v>
      </c>
      <c r="F172" s="53">
        <f t="shared" si="0"/>
        <v>449709.07999999996</v>
      </c>
    </row>
    <row r="173" spans="1:6" s="10" customFormat="1" ht="31.5">
      <c r="A173" s="25" t="s">
        <v>541</v>
      </c>
      <c r="B173" s="16" t="s">
        <v>112</v>
      </c>
      <c r="C173" s="16">
        <v>600</v>
      </c>
      <c r="D173" s="54">
        <f>D174</f>
        <v>449709.07999999996</v>
      </c>
      <c r="E173" s="54">
        <f>E174</f>
        <v>0</v>
      </c>
      <c r="F173" s="53">
        <f t="shared" si="0"/>
        <v>449709.07999999996</v>
      </c>
    </row>
    <row r="174" spans="1:6" s="10" customFormat="1" ht="16.5">
      <c r="A174" s="25" t="s">
        <v>542</v>
      </c>
      <c r="B174" s="16" t="s">
        <v>112</v>
      </c>
      <c r="C174" s="16">
        <v>610</v>
      </c>
      <c r="D174" s="54">
        <f>44970.91+404738.17</f>
        <v>449709.07999999996</v>
      </c>
      <c r="E174" s="54">
        <v>0</v>
      </c>
      <c r="F174" s="53">
        <f t="shared" si="0"/>
        <v>449709.07999999996</v>
      </c>
    </row>
    <row r="175" spans="1:6" s="10" customFormat="1" ht="31.5">
      <c r="A175" s="13" t="s">
        <v>113</v>
      </c>
      <c r="B175" s="14" t="s">
        <v>114</v>
      </c>
      <c r="C175" s="14"/>
      <c r="D175" s="53">
        <f>SUM(D176,D182,D179,D185)</f>
        <v>51616456.26</v>
      </c>
      <c r="E175" s="53">
        <f>SUM(E176,E182,E179,E185)</f>
        <v>0</v>
      </c>
      <c r="F175" s="53">
        <f t="shared" si="0"/>
        <v>51616456.26</v>
      </c>
    </row>
    <row r="176" spans="1:6" s="10" customFormat="1" ht="16.5">
      <c r="A176" s="13" t="s">
        <v>115</v>
      </c>
      <c r="B176" s="14" t="s">
        <v>116</v>
      </c>
      <c r="C176" s="14"/>
      <c r="D176" s="53">
        <f>D177</f>
        <v>30900000</v>
      </c>
      <c r="E176" s="53">
        <f>E177</f>
        <v>0</v>
      </c>
      <c r="F176" s="53">
        <f t="shared" si="0"/>
        <v>30900000</v>
      </c>
    </row>
    <row r="177" spans="1:6" s="10" customFormat="1" ht="31.5">
      <c r="A177" s="18" t="s">
        <v>541</v>
      </c>
      <c r="B177" s="14" t="s">
        <v>116</v>
      </c>
      <c r="C177" s="14">
        <v>600</v>
      </c>
      <c r="D177" s="53">
        <f>D178</f>
        <v>30900000</v>
      </c>
      <c r="E177" s="53">
        <f>E178</f>
        <v>0</v>
      </c>
      <c r="F177" s="53">
        <f t="shared" si="0"/>
        <v>30900000</v>
      </c>
    </row>
    <row r="178" spans="1:6" s="10" customFormat="1" ht="16.5">
      <c r="A178" s="18" t="s">
        <v>542</v>
      </c>
      <c r="B178" s="14" t="s">
        <v>116</v>
      </c>
      <c r="C178" s="14">
        <v>610</v>
      </c>
      <c r="D178" s="53">
        <v>30900000</v>
      </c>
      <c r="E178" s="53">
        <v>0</v>
      </c>
      <c r="F178" s="53">
        <f t="shared" si="0"/>
        <v>30900000</v>
      </c>
    </row>
    <row r="179" spans="1:6" s="10" customFormat="1" ht="31.5">
      <c r="A179" s="13" t="s">
        <v>117</v>
      </c>
      <c r="B179" s="14" t="s">
        <v>118</v>
      </c>
      <c r="C179" s="14"/>
      <c r="D179" s="53">
        <f>D180</f>
        <v>1000712.79</v>
      </c>
      <c r="E179" s="53">
        <f>E180</f>
        <v>0</v>
      </c>
      <c r="F179" s="53">
        <f t="shared" si="0"/>
        <v>1000712.79</v>
      </c>
    </row>
    <row r="180" spans="1:6" s="10" customFormat="1" ht="31.5">
      <c r="A180" s="18" t="s">
        <v>541</v>
      </c>
      <c r="B180" s="14" t="s">
        <v>118</v>
      </c>
      <c r="C180" s="14">
        <v>600</v>
      </c>
      <c r="D180" s="53">
        <f>D181</f>
        <v>1000712.79</v>
      </c>
      <c r="E180" s="53">
        <f>E181</f>
        <v>0</v>
      </c>
      <c r="F180" s="53">
        <f t="shared" si="0"/>
        <v>1000712.79</v>
      </c>
    </row>
    <row r="181" spans="1:6" s="10" customFormat="1" ht="16.5">
      <c r="A181" s="18" t="s">
        <v>542</v>
      </c>
      <c r="B181" s="14" t="s">
        <v>118</v>
      </c>
      <c r="C181" s="14">
        <v>610</v>
      </c>
      <c r="D181" s="53">
        <v>1000712.79</v>
      </c>
      <c r="E181" s="53">
        <v>0</v>
      </c>
      <c r="F181" s="53">
        <f t="shared" si="0"/>
        <v>1000712.79</v>
      </c>
    </row>
    <row r="182" spans="1:6" s="10" customFormat="1" ht="126">
      <c r="A182" s="13" t="s">
        <v>119</v>
      </c>
      <c r="B182" s="14" t="s">
        <v>120</v>
      </c>
      <c r="C182" s="14"/>
      <c r="D182" s="53">
        <f>D183</f>
        <v>11613891.26</v>
      </c>
      <c r="E182" s="53">
        <f>E183</f>
        <v>0</v>
      </c>
      <c r="F182" s="53">
        <f t="shared" si="0"/>
        <v>11613891.26</v>
      </c>
    </row>
    <row r="183" spans="1:6" s="10" customFormat="1" ht="31.5">
      <c r="A183" s="18" t="s">
        <v>541</v>
      </c>
      <c r="B183" s="14" t="s">
        <v>120</v>
      </c>
      <c r="C183" s="14">
        <v>600</v>
      </c>
      <c r="D183" s="53">
        <f>D184</f>
        <v>11613891.26</v>
      </c>
      <c r="E183" s="53">
        <f>E184</f>
        <v>0</v>
      </c>
      <c r="F183" s="53">
        <f t="shared" si="0"/>
        <v>11613891.26</v>
      </c>
    </row>
    <row r="184" spans="1:6" s="10" customFormat="1" ht="16.5">
      <c r="A184" s="18" t="s">
        <v>542</v>
      </c>
      <c r="B184" s="14" t="s">
        <v>120</v>
      </c>
      <c r="C184" s="14">
        <v>610</v>
      </c>
      <c r="D184" s="53">
        <v>11613891.26</v>
      </c>
      <c r="E184" s="53">
        <v>0</v>
      </c>
      <c r="F184" s="53">
        <f t="shared" si="0"/>
        <v>11613891.26</v>
      </c>
    </row>
    <row r="185" spans="1:6" s="10" customFormat="1" ht="94.5">
      <c r="A185" s="13" t="s">
        <v>121</v>
      </c>
      <c r="B185" s="14" t="s">
        <v>122</v>
      </c>
      <c r="C185" s="14"/>
      <c r="D185" s="53">
        <f>D186</f>
        <v>8101852.21</v>
      </c>
      <c r="E185" s="53">
        <f>E186</f>
        <v>0</v>
      </c>
      <c r="F185" s="53">
        <f t="shared" si="0"/>
        <v>8101852.21</v>
      </c>
    </row>
    <row r="186" spans="1:6" s="10" customFormat="1" ht="31.5">
      <c r="A186" s="18" t="s">
        <v>541</v>
      </c>
      <c r="B186" s="14" t="s">
        <v>122</v>
      </c>
      <c r="C186" s="14">
        <v>600</v>
      </c>
      <c r="D186" s="53">
        <f>D187</f>
        <v>8101852.21</v>
      </c>
      <c r="E186" s="53">
        <f>E187</f>
        <v>0</v>
      </c>
      <c r="F186" s="53">
        <f t="shared" si="0"/>
        <v>8101852.21</v>
      </c>
    </row>
    <row r="187" spans="1:6" s="10" customFormat="1" ht="16.5">
      <c r="A187" s="18" t="s">
        <v>542</v>
      </c>
      <c r="B187" s="14" t="s">
        <v>122</v>
      </c>
      <c r="C187" s="14">
        <v>610</v>
      </c>
      <c r="D187" s="53">
        <v>8101852.21</v>
      </c>
      <c r="E187" s="53">
        <v>0</v>
      </c>
      <c r="F187" s="53">
        <f t="shared" si="0"/>
        <v>8101852.21</v>
      </c>
    </row>
    <row r="188" spans="1:6" s="10" customFormat="1" ht="47.25">
      <c r="A188" s="13" t="s">
        <v>123</v>
      </c>
      <c r="B188" s="14" t="s">
        <v>124</v>
      </c>
      <c r="C188" s="14"/>
      <c r="D188" s="53">
        <f>SUM(D189,D192,D195)</f>
        <v>185156471.10999998</v>
      </c>
      <c r="E188" s="53">
        <f>SUM(E189,E192,E195)</f>
        <v>4867060.88</v>
      </c>
      <c r="F188" s="53">
        <f t="shared" si="0"/>
        <v>190023531.98999998</v>
      </c>
    </row>
    <row r="189" spans="1:6" s="10" customFormat="1" ht="31.5">
      <c r="A189" s="13" t="s">
        <v>125</v>
      </c>
      <c r="B189" s="14" t="s">
        <v>126</v>
      </c>
      <c r="C189" s="14"/>
      <c r="D189" s="53">
        <f>D190</f>
        <v>133130000</v>
      </c>
      <c r="E189" s="53">
        <f>E190</f>
        <v>4047060.88</v>
      </c>
      <c r="F189" s="53">
        <f t="shared" si="0"/>
        <v>137177060.88</v>
      </c>
    </row>
    <row r="190" spans="1:6" s="10" customFormat="1" ht="31.5">
      <c r="A190" s="18" t="s">
        <v>541</v>
      </c>
      <c r="B190" s="14" t="s">
        <v>126</v>
      </c>
      <c r="C190" s="14">
        <v>600</v>
      </c>
      <c r="D190" s="53">
        <f>D191</f>
        <v>133130000</v>
      </c>
      <c r="E190" s="53">
        <f>E191</f>
        <v>4047060.88</v>
      </c>
      <c r="F190" s="53">
        <f t="shared" si="0"/>
        <v>137177060.88</v>
      </c>
    </row>
    <row r="191" spans="1:6" s="10" customFormat="1" ht="16.5">
      <c r="A191" s="18" t="s">
        <v>542</v>
      </c>
      <c r="B191" s="14" t="s">
        <v>126</v>
      </c>
      <c r="C191" s="14">
        <v>610</v>
      </c>
      <c r="D191" s="53">
        <v>133130000</v>
      </c>
      <c r="E191" s="53">
        <v>4047060.88</v>
      </c>
      <c r="F191" s="53">
        <f t="shared" si="0"/>
        <v>137177060.88</v>
      </c>
    </row>
    <row r="192" spans="1:6" s="10" customFormat="1" ht="47.25">
      <c r="A192" s="13" t="s">
        <v>127</v>
      </c>
      <c r="B192" s="14" t="s">
        <v>128</v>
      </c>
      <c r="C192" s="14"/>
      <c r="D192" s="53">
        <f>D193</f>
        <v>3000000.01</v>
      </c>
      <c r="E192" s="53">
        <f>E193</f>
        <v>820000</v>
      </c>
      <c r="F192" s="53">
        <f t="shared" si="0"/>
        <v>3820000.01</v>
      </c>
    </row>
    <row r="193" spans="1:6" s="10" customFormat="1" ht="31.5">
      <c r="A193" s="18" t="s">
        <v>541</v>
      </c>
      <c r="B193" s="14" t="s">
        <v>128</v>
      </c>
      <c r="C193" s="14">
        <v>600</v>
      </c>
      <c r="D193" s="53">
        <f>D194</f>
        <v>3000000.01</v>
      </c>
      <c r="E193" s="53">
        <f>E194</f>
        <v>820000</v>
      </c>
      <c r="F193" s="53">
        <f t="shared" si="0"/>
        <v>3820000.01</v>
      </c>
    </row>
    <row r="194" spans="1:6" s="10" customFormat="1" ht="16.5">
      <c r="A194" s="18" t="s">
        <v>542</v>
      </c>
      <c r="B194" s="14" t="s">
        <v>128</v>
      </c>
      <c r="C194" s="14">
        <v>610</v>
      </c>
      <c r="D194" s="53">
        <v>3000000.01</v>
      </c>
      <c r="E194" s="53">
        <f>-130000+950000</f>
        <v>820000</v>
      </c>
      <c r="F194" s="53">
        <f t="shared" si="0"/>
        <v>3820000.01</v>
      </c>
    </row>
    <row r="195" spans="1:6" s="10" customFormat="1" ht="16.5">
      <c r="A195" s="15" t="s">
        <v>129</v>
      </c>
      <c r="B195" s="14" t="s">
        <v>130</v>
      </c>
      <c r="C195" s="16"/>
      <c r="D195" s="54">
        <f>D196</f>
        <v>49026471.1</v>
      </c>
      <c r="E195" s="54">
        <f>E196</f>
        <v>0</v>
      </c>
      <c r="F195" s="53">
        <f t="shared" si="0"/>
        <v>49026471.1</v>
      </c>
    </row>
    <row r="196" spans="1:6" s="10" customFormat="1" ht="31.5">
      <c r="A196" s="17" t="s">
        <v>541</v>
      </c>
      <c r="B196" s="14" t="s">
        <v>130</v>
      </c>
      <c r="C196" s="16">
        <v>600</v>
      </c>
      <c r="D196" s="54">
        <f>D197</f>
        <v>49026471.1</v>
      </c>
      <c r="E196" s="54">
        <f>E197</f>
        <v>0</v>
      </c>
      <c r="F196" s="53">
        <f t="shared" si="0"/>
        <v>49026471.1</v>
      </c>
    </row>
    <row r="197" spans="1:6" s="10" customFormat="1" ht="16.5">
      <c r="A197" s="17" t="s">
        <v>542</v>
      </c>
      <c r="B197" s="14" t="s">
        <v>130</v>
      </c>
      <c r="C197" s="16">
        <v>610</v>
      </c>
      <c r="D197" s="53">
        <v>49026471.1</v>
      </c>
      <c r="E197" s="53">
        <v>0</v>
      </c>
      <c r="F197" s="53">
        <f t="shared" si="0"/>
        <v>49026471.1</v>
      </c>
    </row>
    <row r="198" spans="1:6" s="10" customFormat="1" ht="47.25">
      <c r="A198" s="18" t="s">
        <v>131</v>
      </c>
      <c r="B198" s="14" t="s">
        <v>132</v>
      </c>
      <c r="C198" s="14"/>
      <c r="D198" s="53">
        <f>SUM(D199,D206,D213)</f>
        <v>48435440</v>
      </c>
      <c r="E198" s="53">
        <f>SUM(E199,E206,E213)</f>
        <v>55000</v>
      </c>
      <c r="F198" s="53">
        <f t="shared" si="0"/>
        <v>48490440</v>
      </c>
    </row>
    <row r="199" spans="1:6" s="10" customFormat="1" ht="31.5">
      <c r="A199" s="18" t="s">
        <v>133</v>
      </c>
      <c r="B199" s="14" t="s">
        <v>134</v>
      </c>
      <c r="C199" s="14"/>
      <c r="D199" s="26">
        <f>SUM(D200,D202,D204)</f>
        <v>6453000</v>
      </c>
      <c r="E199" s="26">
        <f>SUM(E200,E202,E204)</f>
        <v>55000</v>
      </c>
      <c r="F199" s="53">
        <f t="shared" si="0"/>
        <v>6508000</v>
      </c>
    </row>
    <row r="200" spans="1:6" s="10" customFormat="1" ht="78.75">
      <c r="A200" s="22" t="s">
        <v>66</v>
      </c>
      <c r="B200" s="14" t="s">
        <v>134</v>
      </c>
      <c r="C200" s="23" t="s">
        <v>67</v>
      </c>
      <c r="D200" s="53">
        <f>D201</f>
        <v>6100000</v>
      </c>
      <c r="E200" s="53">
        <f>E201</f>
        <v>55000</v>
      </c>
      <c r="F200" s="53">
        <f t="shared" si="0"/>
        <v>6155000</v>
      </c>
    </row>
    <row r="201" spans="1:6" s="10" customFormat="1" ht="31.5">
      <c r="A201" s="22" t="s">
        <v>68</v>
      </c>
      <c r="B201" s="14" t="s">
        <v>134</v>
      </c>
      <c r="C201" s="23" t="s">
        <v>69</v>
      </c>
      <c r="D201" s="53">
        <v>6100000</v>
      </c>
      <c r="E201" s="53">
        <v>55000</v>
      </c>
      <c r="F201" s="53">
        <f t="shared" si="0"/>
        <v>6155000</v>
      </c>
    </row>
    <row r="202" spans="1:6" s="10" customFormat="1" ht="31.5">
      <c r="A202" s="20" t="s">
        <v>7</v>
      </c>
      <c r="B202" s="14" t="s">
        <v>134</v>
      </c>
      <c r="C202" s="23" t="s">
        <v>70</v>
      </c>
      <c r="D202" s="53">
        <f>D203</f>
        <v>350000</v>
      </c>
      <c r="E202" s="53">
        <f>E203</f>
        <v>0</v>
      </c>
      <c r="F202" s="53">
        <f t="shared" si="0"/>
        <v>350000</v>
      </c>
    </row>
    <row r="203" spans="1:6" s="10" customFormat="1" ht="31.5">
      <c r="A203" s="20" t="s">
        <v>8</v>
      </c>
      <c r="B203" s="14" t="s">
        <v>134</v>
      </c>
      <c r="C203" s="23" t="s">
        <v>71</v>
      </c>
      <c r="D203" s="53">
        <v>350000</v>
      </c>
      <c r="E203" s="53">
        <v>0</v>
      </c>
      <c r="F203" s="53">
        <f t="shared" si="0"/>
        <v>350000</v>
      </c>
    </row>
    <row r="204" spans="1:6" s="10" customFormat="1" ht="16.5">
      <c r="A204" s="20" t="s">
        <v>544</v>
      </c>
      <c r="B204" s="14" t="s">
        <v>134</v>
      </c>
      <c r="C204" s="23" t="s">
        <v>72</v>
      </c>
      <c r="D204" s="53">
        <f>D205</f>
        <v>3000</v>
      </c>
      <c r="E204" s="53">
        <f>E205</f>
        <v>0</v>
      </c>
      <c r="F204" s="53">
        <f t="shared" si="0"/>
        <v>3000</v>
      </c>
    </row>
    <row r="205" spans="1:6" s="10" customFormat="1" ht="16.5">
      <c r="A205" s="20" t="s">
        <v>73</v>
      </c>
      <c r="B205" s="14" t="s">
        <v>134</v>
      </c>
      <c r="C205" s="23" t="s">
        <v>74</v>
      </c>
      <c r="D205" s="53">
        <v>3000</v>
      </c>
      <c r="E205" s="53">
        <v>0</v>
      </c>
      <c r="F205" s="53">
        <f t="shared" si="0"/>
        <v>3000</v>
      </c>
    </row>
    <row r="206" spans="1:6" s="10" customFormat="1" ht="31.5">
      <c r="A206" s="18" t="s">
        <v>135</v>
      </c>
      <c r="B206" s="14" t="s">
        <v>136</v>
      </c>
      <c r="C206" s="14"/>
      <c r="D206" s="53">
        <f>SUM(D207,D209,D211)</f>
        <v>41837000</v>
      </c>
      <c r="E206" s="53">
        <f>SUM(E207,E209,E211)</f>
        <v>0</v>
      </c>
      <c r="F206" s="53">
        <f t="shared" si="0"/>
        <v>41837000</v>
      </c>
    </row>
    <row r="207" spans="1:6" s="10" customFormat="1" ht="78.75">
      <c r="A207" s="22" t="s">
        <v>66</v>
      </c>
      <c r="B207" s="14" t="s">
        <v>136</v>
      </c>
      <c r="C207" s="14">
        <v>100</v>
      </c>
      <c r="D207" s="53">
        <f>D208</f>
        <v>40000000</v>
      </c>
      <c r="E207" s="53">
        <f>E208</f>
        <v>0</v>
      </c>
      <c r="F207" s="53">
        <f t="shared" si="0"/>
        <v>40000000</v>
      </c>
    </row>
    <row r="208" spans="1:6" s="10" customFormat="1" ht="16.5">
      <c r="A208" s="22" t="s">
        <v>77</v>
      </c>
      <c r="B208" s="14" t="s">
        <v>136</v>
      </c>
      <c r="C208" s="14">
        <v>110</v>
      </c>
      <c r="D208" s="53">
        <v>40000000</v>
      </c>
      <c r="E208" s="53">
        <v>0</v>
      </c>
      <c r="F208" s="53">
        <f t="shared" si="0"/>
        <v>40000000</v>
      </c>
    </row>
    <row r="209" spans="1:6" s="10" customFormat="1" ht="31.5">
      <c r="A209" s="20" t="s">
        <v>7</v>
      </c>
      <c r="B209" s="14" t="s">
        <v>136</v>
      </c>
      <c r="C209" s="14">
        <v>200</v>
      </c>
      <c r="D209" s="53">
        <f>D210</f>
        <v>1834000</v>
      </c>
      <c r="E209" s="53">
        <f>E210</f>
        <v>0</v>
      </c>
      <c r="F209" s="53">
        <f t="shared" si="0"/>
        <v>1834000</v>
      </c>
    </row>
    <row r="210" spans="1:6" s="10" customFormat="1" ht="31.5">
      <c r="A210" s="20" t="s">
        <v>8</v>
      </c>
      <c r="B210" s="14" t="s">
        <v>136</v>
      </c>
      <c r="C210" s="14">
        <v>240</v>
      </c>
      <c r="D210" s="53">
        <v>1834000</v>
      </c>
      <c r="E210" s="53">
        <v>0</v>
      </c>
      <c r="F210" s="53">
        <f t="shared" si="0"/>
        <v>1834000</v>
      </c>
    </row>
    <row r="211" spans="1:6" s="10" customFormat="1" ht="16.5">
      <c r="A211" s="20" t="s">
        <v>544</v>
      </c>
      <c r="B211" s="14" t="s">
        <v>136</v>
      </c>
      <c r="C211" s="23" t="s">
        <v>72</v>
      </c>
      <c r="D211" s="53">
        <f>D212</f>
        <v>3000</v>
      </c>
      <c r="E211" s="53">
        <f>E212</f>
        <v>0</v>
      </c>
      <c r="F211" s="53">
        <f t="shared" si="0"/>
        <v>3000</v>
      </c>
    </row>
    <row r="212" spans="1:6" s="10" customFormat="1" ht="16.5">
      <c r="A212" s="20" t="s">
        <v>73</v>
      </c>
      <c r="B212" s="14" t="s">
        <v>136</v>
      </c>
      <c r="C212" s="23" t="s">
        <v>74</v>
      </c>
      <c r="D212" s="53">
        <v>3000</v>
      </c>
      <c r="E212" s="53">
        <v>0</v>
      </c>
      <c r="F212" s="53">
        <f t="shared" si="0"/>
        <v>3000</v>
      </c>
    </row>
    <row r="213" spans="1:6" s="10" customFormat="1" ht="47.25">
      <c r="A213" s="18" t="s">
        <v>137</v>
      </c>
      <c r="B213" s="14" t="s">
        <v>138</v>
      </c>
      <c r="C213" s="14"/>
      <c r="D213" s="53">
        <f>D214+D216</f>
        <v>145440</v>
      </c>
      <c r="E213" s="53">
        <f>E214+E216</f>
        <v>0</v>
      </c>
      <c r="F213" s="53">
        <f t="shared" si="0"/>
        <v>145440</v>
      </c>
    </row>
    <row r="214" spans="1:6" s="10" customFormat="1" ht="31.5">
      <c r="A214" s="20" t="s">
        <v>7</v>
      </c>
      <c r="B214" s="14" t="s">
        <v>138</v>
      </c>
      <c r="C214" s="14">
        <v>200</v>
      </c>
      <c r="D214" s="53">
        <f>D215</f>
        <v>1440</v>
      </c>
      <c r="E214" s="53">
        <f>E215</f>
        <v>0</v>
      </c>
      <c r="F214" s="53">
        <f t="shared" si="0"/>
        <v>1440</v>
      </c>
    </row>
    <row r="215" spans="1:6" s="10" customFormat="1" ht="31.5">
      <c r="A215" s="20" t="s">
        <v>8</v>
      </c>
      <c r="B215" s="14" t="s">
        <v>138</v>
      </c>
      <c r="C215" s="14">
        <v>240</v>
      </c>
      <c r="D215" s="53">
        <v>1440</v>
      </c>
      <c r="E215" s="53">
        <v>0</v>
      </c>
      <c r="F215" s="53">
        <f t="shared" si="0"/>
        <v>1440</v>
      </c>
    </row>
    <row r="216" spans="1:6" s="10" customFormat="1" ht="16.5">
      <c r="A216" s="18" t="s">
        <v>9</v>
      </c>
      <c r="B216" s="14" t="s">
        <v>138</v>
      </c>
      <c r="C216" s="14">
        <v>300</v>
      </c>
      <c r="D216" s="53">
        <f>D217</f>
        <v>144000</v>
      </c>
      <c r="E216" s="53">
        <f>E217</f>
        <v>0</v>
      </c>
      <c r="F216" s="53">
        <f t="shared" si="0"/>
        <v>144000</v>
      </c>
    </row>
    <row r="217" spans="1:6" s="10" customFormat="1" ht="31.5">
      <c r="A217" s="18" t="s">
        <v>10</v>
      </c>
      <c r="B217" s="14" t="s">
        <v>138</v>
      </c>
      <c r="C217" s="14">
        <v>320</v>
      </c>
      <c r="D217" s="53">
        <v>144000</v>
      </c>
      <c r="E217" s="53">
        <v>0</v>
      </c>
      <c r="F217" s="53">
        <f t="shared" si="0"/>
        <v>144000</v>
      </c>
    </row>
    <row r="218" spans="1:6" s="10" customFormat="1" ht="31.5">
      <c r="A218" s="11" t="s">
        <v>139</v>
      </c>
      <c r="B218" s="12" t="s">
        <v>140</v>
      </c>
      <c r="C218" s="12"/>
      <c r="D218" s="52">
        <f>SUM(D219,D222,D225,D228)</f>
        <v>46957700.84</v>
      </c>
      <c r="E218" s="52">
        <f>SUM(E219,E222,E225,E228)</f>
        <v>526778.96</v>
      </c>
      <c r="F218" s="52">
        <f t="shared" si="0"/>
        <v>47484479.800000004</v>
      </c>
    </row>
    <row r="219" spans="1:6" s="10" customFormat="1" ht="31.5">
      <c r="A219" s="18" t="s">
        <v>141</v>
      </c>
      <c r="B219" s="14" t="s">
        <v>142</v>
      </c>
      <c r="C219" s="14"/>
      <c r="D219" s="53">
        <f>D220</f>
        <v>650000</v>
      </c>
      <c r="E219" s="53">
        <f>E220</f>
        <v>0</v>
      </c>
      <c r="F219" s="53">
        <f t="shared" si="0"/>
        <v>650000</v>
      </c>
    </row>
    <row r="220" spans="1:6" s="10" customFormat="1" ht="31.5">
      <c r="A220" s="18" t="s">
        <v>541</v>
      </c>
      <c r="B220" s="14" t="s">
        <v>142</v>
      </c>
      <c r="C220" s="14">
        <v>600</v>
      </c>
      <c r="D220" s="53">
        <f>D221</f>
        <v>650000</v>
      </c>
      <c r="E220" s="53">
        <f>E221</f>
        <v>0</v>
      </c>
      <c r="F220" s="53">
        <f t="shared" si="0"/>
        <v>650000</v>
      </c>
    </row>
    <row r="221" spans="1:6" s="10" customFormat="1" ht="16.5">
      <c r="A221" s="18" t="s">
        <v>542</v>
      </c>
      <c r="B221" s="14" t="s">
        <v>142</v>
      </c>
      <c r="C221" s="14">
        <v>610</v>
      </c>
      <c r="D221" s="26">
        <v>650000</v>
      </c>
      <c r="E221" s="26">
        <v>0</v>
      </c>
      <c r="F221" s="53">
        <f t="shared" si="0"/>
        <v>650000</v>
      </c>
    </row>
    <row r="222" spans="1:6" s="10" customFormat="1" ht="31.5">
      <c r="A222" s="18" t="s">
        <v>143</v>
      </c>
      <c r="B222" s="14" t="s">
        <v>144</v>
      </c>
      <c r="C222" s="14"/>
      <c r="D222" s="26">
        <f>D223</f>
        <v>8747484</v>
      </c>
      <c r="E222" s="26">
        <f>E223</f>
        <v>0</v>
      </c>
      <c r="F222" s="53">
        <f t="shared" si="0"/>
        <v>8747484</v>
      </c>
    </row>
    <row r="223" spans="1:6" s="10" customFormat="1" ht="31.5">
      <c r="A223" s="18" t="s">
        <v>541</v>
      </c>
      <c r="B223" s="14" t="s">
        <v>144</v>
      </c>
      <c r="C223" s="14">
        <v>600</v>
      </c>
      <c r="D223" s="26">
        <f>D224</f>
        <v>8747484</v>
      </c>
      <c r="E223" s="26">
        <f>E224</f>
        <v>0</v>
      </c>
      <c r="F223" s="53">
        <f t="shared" si="0"/>
        <v>8747484</v>
      </c>
    </row>
    <row r="224" spans="1:6" s="10" customFormat="1" ht="16.5">
      <c r="A224" s="18" t="s">
        <v>542</v>
      </c>
      <c r="B224" s="14" t="s">
        <v>144</v>
      </c>
      <c r="C224" s="14">
        <v>610</v>
      </c>
      <c r="D224" s="26">
        <v>8747484</v>
      </c>
      <c r="E224" s="53">
        <v>0</v>
      </c>
      <c r="F224" s="53">
        <f t="shared" si="0"/>
        <v>8747484</v>
      </c>
    </row>
    <row r="225" spans="1:6" s="10" customFormat="1" ht="31.5">
      <c r="A225" s="18" t="s">
        <v>145</v>
      </c>
      <c r="B225" s="14" t="s">
        <v>146</v>
      </c>
      <c r="C225" s="14"/>
      <c r="D225" s="26">
        <f>D226</f>
        <v>0</v>
      </c>
      <c r="E225" s="26">
        <f>E226</f>
        <v>526778.96</v>
      </c>
      <c r="F225" s="27">
        <f t="shared" si="0"/>
        <v>526778.96</v>
      </c>
    </row>
    <row r="226" spans="1:6" s="10" customFormat="1" ht="31.5">
      <c r="A226" s="20" t="s">
        <v>7</v>
      </c>
      <c r="B226" s="14" t="s">
        <v>146</v>
      </c>
      <c r="C226" s="14">
        <v>200</v>
      </c>
      <c r="D226" s="26">
        <f>D227</f>
        <v>0</v>
      </c>
      <c r="E226" s="26">
        <f>E227</f>
        <v>526778.96</v>
      </c>
      <c r="F226" s="27">
        <f t="shared" si="0"/>
        <v>526778.96</v>
      </c>
    </row>
    <row r="227" spans="1:6" s="10" customFormat="1" ht="31.5">
      <c r="A227" s="20" t="s">
        <v>8</v>
      </c>
      <c r="B227" s="14" t="s">
        <v>146</v>
      </c>
      <c r="C227" s="14">
        <v>240</v>
      </c>
      <c r="D227" s="26"/>
      <c r="E227" s="26">
        <f>500000+26778.96</f>
        <v>526778.96</v>
      </c>
      <c r="F227" s="27">
        <f t="shared" si="0"/>
        <v>526778.96</v>
      </c>
    </row>
    <row r="228" spans="1:6" s="10" customFormat="1" ht="63">
      <c r="A228" s="18" t="s">
        <v>147</v>
      </c>
      <c r="B228" s="14" t="s">
        <v>148</v>
      </c>
      <c r="C228" s="14"/>
      <c r="D228" s="26">
        <f>D229</f>
        <v>37560216.84</v>
      </c>
      <c r="E228" s="26">
        <f>E229</f>
        <v>0</v>
      </c>
      <c r="F228" s="27">
        <f t="shared" si="0"/>
        <v>37560216.84</v>
      </c>
    </row>
    <row r="229" spans="1:6" s="10" customFormat="1" ht="31.5">
      <c r="A229" s="20" t="s">
        <v>7</v>
      </c>
      <c r="B229" s="14" t="s">
        <v>148</v>
      </c>
      <c r="C229" s="14">
        <v>200</v>
      </c>
      <c r="D229" s="26">
        <f>D230</f>
        <v>37560216.84</v>
      </c>
      <c r="E229" s="26">
        <f>E230</f>
        <v>0</v>
      </c>
      <c r="F229" s="27">
        <f>SUM(D229:E229)</f>
        <v>37560216.84</v>
      </c>
    </row>
    <row r="230" spans="1:6" s="10" customFormat="1" ht="31.5">
      <c r="A230" s="20" t="s">
        <v>8</v>
      </c>
      <c r="B230" s="14" t="s">
        <v>148</v>
      </c>
      <c r="C230" s="14">
        <v>240</v>
      </c>
      <c r="D230" s="26">
        <v>37560216.84</v>
      </c>
      <c r="E230" s="26">
        <v>0</v>
      </c>
      <c r="F230" s="27">
        <f>SUM(D230:E230)</f>
        <v>37560216.84</v>
      </c>
    </row>
    <row r="231" spans="1:6" s="10" customFormat="1" ht="31.5">
      <c r="A231" s="11" t="s">
        <v>149</v>
      </c>
      <c r="B231" s="12" t="s">
        <v>150</v>
      </c>
      <c r="C231" s="12"/>
      <c r="D231" s="52">
        <f>SUM(D232,D235,D238,D241,D245,D250,D253)</f>
        <v>177722661.79999998</v>
      </c>
      <c r="E231" s="52">
        <f>SUM(E232,E235,E238,E241,E245,E250,E253)</f>
        <v>8684820</v>
      </c>
      <c r="F231" s="52">
        <f aca="true" t="shared" si="1" ref="F231:F293">SUM(D231:E231)</f>
        <v>186407481.79999998</v>
      </c>
    </row>
    <row r="232" spans="1:6" s="10" customFormat="1" ht="31.5">
      <c r="A232" s="28" t="s">
        <v>151</v>
      </c>
      <c r="B232" s="14" t="s">
        <v>152</v>
      </c>
      <c r="C232" s="14"/>
      <c r="D232" s="53">
        <f>D233</f>
        <v>2500000</v>
      </c>
      <c r="E232" s="53">
        <f>E233</f>
        <v>3200000</v>
      </c>
      <c r="F232" s="53">
        <f t="shared" si="1"/>
        <v>5700000</v>
      </c>
    </row>
    <row r="233" spans="1:6" s="10" customFormat="1" ht="31.5">
      <c r="A233" s="18" t="s">
        <v>541</v>
      </c>
      <c r="B233" s="14" t="s">
        <v>152</v>
      </c>
      <c r="C233" s="14">
        <v>600</v>
      </c>
      <c r="D233" s="53">
        <f>D234</f>
        <v>2500000</v>
      </c>
      <c r="E233" s="53">
        <f>E234</f>
        <v>3200000</v>
      </c>
      <c r="F233" s="53">
        <f t="shared" si="1"/>
        <v>5700000</v>
      </c>
    </row>
    <row r="234" spans="1:6" s="10" customFormat="1" ht="16.5">
      <c r="A234" s="18" t="s">
        <v>47</v>
      </c>
      <c r="B234" s="14" t="s">
        <v>152</v>
      </c>
      <c r="C234" s="14">
        <v>620</v>
      </c>
      <c r="D234" s="53">
        <v>2500000</v>
      </c>
      <c r="E234" s="53">
        <f>1100000+2100000</f>
        <v>3200000</v>
      </c>
      <c r="F234" s="53">
        <f t="shared" si="1"/>
        <v>5700000</v>
      </c>
    </row>
    <row r="235" spans="1:6" s="10" customFormat="1" ht="31.5">
      <c r="A235" s="18" t="s">
        <v>153</v>
      </c>
      <c r="B235" s="14" t="s">
        <v>154</v>
      </c>
      <c r="C235" s="14"/>
      <c r="D235" s="53">
        <f>D236</f>
        <v>12000000</v>
      </c>
      <c r="E235" s="53">
        <f>E236</f>
        <v>0</v>
      </c>
      <c r="F235" s="53">
        <f t="shared" si="1"/>
        <v>12000000</v>
      </c>
    </row>
    <row r="236" spans="1:6" s="10" customFormat="1" ht="16.5">
      <c r="A236" s="18" t="s">
        <v>544</v>
      </c>
      <c r="B236" s="14" t="s">
        <v>154</v>
      </c>
      <c r="C236" s="14">
        <v>800</v>
      </c>
      <c r="D236" s="53">
        <f>D237</f>
        <v>12000000</v>
      </c>
      <c r="E236" s="53">
        <f>E237</f>
        <v>0</v>
      </c>
      <c r="F236" s="53">
        <f t="shared" si="1"/>
        <v>12000000</v>
      </c>
    </row>
    <row r="237" spans="1:6" s="10" customFormat="1" ht="47.25">
      <c r="A237" s="18" t="s">
        <v>545</v>
      </c>
      <c r="B237" s="14" t="s">
        <v>154</v>
      </c>
      <c r="C237" s="14">
        <v>810</v>
      </c>
      <c r="D237" s="53">
        <v>12000000</v>
      </c>
      <c r="E237" s="53">
        <v>0</v>
      </c>
      <c r="F237" s="53">
        <f t="shared" si="1"/>
        <v>12000000</v>
      </c>
    </row>
    <row r="238" spans="1:6" s="10" customFormat="1" ht="78.75">
      <c r="A238" s="18" t="s">
        <v>155</v>
      </c>
      <c r="B238" s="14" t="s">
        <v>156</v>
      </c>
      <c r="C238" s="14"/>
      <c r="D238" s="53">
        <f>D239</f>
        <v>19654999.58</v>
      </c>
      <c r="E238" s="53">
        <f>E239</f>
        <v>0</v>
      </c>
      <c r="F238" s="56">
        <f t="shared" si="1"/>
        <v>19654999.58</v>
      </c>
    </row>
    <row r="239" spans="1:6" s="10" customFormat="1" ht="31.5">
      <c r="A239" s="18" t="s">
        <v>541</v>
      </c>
      <c r="B239" s="14" t="s">
        <v>156</v>
      </c>
      <c r="C239" s="14">
        <v>600</v>
      </c>
      <c r="D239" s="53">
        <f>D240</f>
        <v>19654999.58</v>
      </c>
      <c r="E239" s="53">
        <f>E240</f>
        <v>0</v>
      </c>
      <c r="F239" s="56">
        <f t="shared" si="1"/>
        <v>19654999.58</v>
      </c>
    </row>
    <row r="240" spans="1:6" s="10" customFormat="1" ht="16.5">
      <c r="A240" s="18" t="s">
        <v>542</v>
      </c>
      <c r="B240" s="14" t="s">
        <v>156</v>
      </c>
      <c r="C240" s="14">
        <v>610</v>
      </c>
      <c r="D240" s="53">
        <v>19654999.58</v>
      </c>
      <c r="E240" s="53">
        <v>0</v>
      </c>
      <c r="F240" s="56">
        <f t="shared" si="1"/>
        <v>19654999.58</v>
      </c>
    </row>
    <row r="241" spans="1:6" s="10" customFormat="1" ht="31.5">
      <c r="A241" s="18" t="s">
        <v>157</v>
      </c>
      <c r="B241" s="14" t="s">
        <v>158</v>
      </c>
      <c r="C241" s="14"/>
      <c r="D241" s="53">
        <f>D242</f>
        <v>125755555.55</v>
      </c>
      <c r="E241" s="53">
        <f>E242</f>
        <v>5200000</v>
      </c>
      <c r="F241" s="53">
        <f t="shared" si="1"/>
        <v>130955555.55</v>
      </c>
    </row>
    <row r="242" spans="1:6" s="10" customFormat="1" ht="31.5">
      <c r="A242" s="18" t="s">
        <v>541</v>
      </c>
      <c r="B242" s="14" t="s">
        <v>158</v>
      </c>
      <c r="C242" s="14">
        <v>600</v>
      </c>
      <c r="D242" s="53">
        <f>SUM(D243,D244)</f>
        <v>125755555.55</v>
      </c>
      <c r="E242" s="53">
        <f>SUM(E243,E244)</f>
        <v>5200000</v>
      </c>
      <c r="F242" s="53">
        <f t="shared" si="1"/>
        <v>130955555.55</v>
      </c>
    </row>
    <row r="243" spans="1:6" s="10" customFormat="1" ht="16.5">
      <c r="A243" s="18" t="s">
        <v>542</v>
      </c>
      <c r="B243" s="14" t="s">
        <v>158</v>
      </c>
      <c r="C243" s="14">
        <v>610</v>
      </c>
      <c r="D243" s="53">
        <f>28000000+55555.55</f>
        <v>28055555.55</v>
      </c>
      <c r="E243" s="53">
        <v>0</v>
      </c>
      <c r="F243" s="53">
        <f t="shared" si="1"/>
        <v>28055555.55</v>
      </c>
    </row>
    <row r="244" spans="1:6" s="10" customFormat="1" ht="16.5">
      <c r="A244" s="18" t="s">
        <v>47</v>
      </c>
      <c r="B244" s="14" t="s">
        <v>158</v>
      </c>
      <c r="C244" s="14">
        <v>620</v>
      </c>
      <c r="D244" s="53">
        <v>97700000</v>
      </c>
      <c r="E244" s="53">
        <f>-1100000+6300000</f>
        <v>5200000</v>
      </c>
      <c r="F244" s="53">
        <f t="shared" si="1"/>
        <v>102900000</v>
      </c>
    </row>
    <row r="245" spans="1:6" s="10" customFormat="1" ht="47.25">
      <c r="A245" s="18" t="s">
        <v>159</v>
      </c>
      <c r="B245" s="14" t="s">
        <v>160</v>
      </c>
      <c r="C245" s="14"/>
      <c r="D245" s="53">
        <f>D246+D248</f>
        <v>145440</v>
      </c>
      <c r="E245" s="53">
        <f>E246+E248</f>
        <v>284820</v>
      </c>
      <c r="F245" s="53">
        <f t="shared" si="1"/>
        <v>430260</v>
      </c>
    </row>
    <row r="246" spans="1:6" s="10" customFormat="1" ht="31.5">
      <c r="A246" s="20" t="s">
        <v>7</v>
      </c>
      <c r="B246" s="14" t="s">
        <v>160</v>
      </c>
      <c r="C246" s="14">
        <v>200</v>
      </c>
      <c r="D246" s="53">
        <f>D247</f>
        <v>1440</v>
      </c>
      <c r="E246" s="53">
        <f>E247</f>
        <v>2820</v>
      </c>
      <c r="F246" s="53">
        <f t="shared" si="1"/>
        <v>4260</v>
      </c>
    </row>
    <row r="247" spans="1:6" s="10" customFormat="1" ht="31.5">
      <c r="A247" s="20" t="s">
        <v>8</v>
      </c>
      <c r="B247" s="14" t="s">
        <v>160</v>
      </c>
      <c r="C247" s="14">
        <v>240</v>
      </c>
      <c r="D247" s="53">
        <v>1440</v>
      </c>
      <c r="E247" s="53">
        <v>2820</v>
      </c>
      <c r="F247" s="53">
        <f t="shared" si="1"/>
        <v>4260</v>
      </c>
    </row>
    <row r="248" spans="1:6" s="10" customFormat="1" ht="16.5">
      <c r="A248" s="18" t="s">
        <v>9</v>
      </c>
      <c r="B248" s="14" t="s">
        <v>160</v>
      </c>
      <c r="C248" s="14">
        <v>300</v>
      </c>
      <c r="D248" s="53">
        <f>D249</f>
        <v>144000</v>
      </c>
      <c r="E248" s="53">
        <f>E249</f>
        <v>282000</v>
      </c>
      <c r="F248" s="53">
        <f t="shared" si="1"/>
        <v>426000</v>
      </c>
    </row>
    <row r="249" spans="1:6" s="10" customFormat="1" ht="31.5">
      <c r="A249" s="18" t="s">
        <v>10</v>
      </c>
      <c r="B249" s="14" t="s">
        <v>160</v>
      </c>
      <c r="C249" s="14">
        <v>320</v>
      </c>
      <c r="D249" s="53">
        <v>144000</v>
      </c>
      <c r="E249" s="53">
        <v>282000</v>
      </c>
      <c r="F249" s="53">
        <f t="shared" si="1"/>
        <v>426000</v>
      </c>
    </row>
    <row r="250" spans="1:6" s="10" customFormat="1" ht="31.5">
      <c r="A250" s="18" t="s">
        <v>161</v>
      </c>
      <c r="B250" s="14" t="s">
        <v>162</v>
      </c>
      <c r="C250" s="14"/>
      <c r="D250" s="53">
        <f>D251</f>
        <v>16000000</v>
      </c>
      <c r="E250" s="53">
        <f>E251</f>
        <v>0</v>
      </c>
      <c r="F250" s="53">
        <f t="shared" si="1"/>
        <v>16000000</v>
      </c>
    </row>
    <row r="251" spans="1:6" s="10" customFormat="1" ht="31.5">
      <c r="A251" s="18" t="s">
        <v>541</v>
      </c>
      <c r="B251" s="14" t="s">
        <v>162</v>
      </c>
      <c r="C251" s="14">
        <v>600</v>
      </c>
      <c r="D251" s="53">
        <f>D252</f>
        <v>16000000</v>
      </c>
      <c r="E251" s="53">
        <f>E252</f>
        <v>0</v>
      </c>
      <c r="F251" s="53">
        <f t="shared" si="1"/>
        <v>16000000</v>
      </c>
    </row>
    <row r="252" spans="1:6" s="10" customFormat="1" ht="31.5">
      <c r="A252" s="18" t="s">
        <v>543</v>
      </c>
      <c r="B252" s="14" t="s">
        <v>162</v>
      </c>
      <c r="C252" s="14">
        <v>630</v>
      </c>
      <c r="D252" s="53">
        <f>13000000+3000000</f>
        <v>16000000</v>
      </c>
      <c r="E252" s="53">
        <v>0</v>
      </c>
      <c r="F252" s="53">
        <f t="shared" si="1"/>
        <v>16000000</v>
      </c>
    </row>
    <row r="253" spans="1:6" s="10" customFormat="1" ht="63">
      <c r="A253" s="18" t="s">
        <v>163</v>
      </c>
      <c r="B253" s="16" t="s">
        <v>164</v>
      </c>
      <c r="C253" s="16"/>
      <c r="D253" s="54">
        <f>D254</f>
        <v>1666666.67</v>
      </c>
      <c r="E253" s="54">
        <f>E254</f>
        <v>0</v>
      </c>
      <c r="F253" s="53">
        <f t="shared" si="1"/>
        <v>1666666.67</v>
      </c>
    </row>
    <row r="254" spans="1:6" s="10" customFormat="1" ht="31.5">
      <c r="A254" s="17" t="s">
        <v>541</v>
      </c>
      <c r="B254" s="16" t="s">
        <v>164</v>
      </c>
      <c r="C254" s="16">
        <v>600</v>
      </c>
      <c r="D254" s="54">
        <f>SUM(D255:D255)</f>
        <v>1666666.67</v>
      </c>
      <c r="E254" s="54">
        <f>SUM(E255:E255)</f>
        <v>0</v>
      </c>
      <c r="F254" s="53">
        <f t="shared" si="1"/>
        <v>1666666.67</v>
      </c>
    </row>
    <row r="255" spans="1:6" s="10" customFormat="1" ht="16.5">
      <c r="A255" s="17" t="s">
        <v>542</v>
      </c>
      <c r="B255" s="16" t="s">
        <v>164</v>
      </c>
      <c r="C255" s="16">
        <v>610</v>
      </c>
      <c r="D255" s="54">
        <f>166666.67+1500000</f>
        <v>1666666.67</v>
      </c>
      <c r="E255" s="54">
        <v>0</v>
      </c>
      <c r="F255" s="53">
        <f t="shared" si="1"/>
        <v>1666666.67</v>
      </c>
    </row>
    <row r="256" spans="1:6" s="10" customFormat="1" ht="31.5">
      <c r="A256" s="11" t="s">
        <v>165</v>
      </c>
      <c r="B256" s="12" t="s">
        <v>166</v>
      </c>
      <c r="C256" s="12"/>
      <c r="D256" s="52">
        <f>SUM(D257,D352,D367,D373,D377)</f>
        <v>859816861.34</v>
      </c>
      <c r="E256" s="52">
        <f>SUM(E257,E352,E367,E373,E377)</f>
        <v>19129370</v>
      </c>
      <c r="F256" s="52">
        <f t="shared" si="1"/>
        <v>878946231.34</v>
      </c>
    </row>
    <row r="257" spans="1:6" s="10" customFormat="1" ht="47.25">
      <c r="A257" s="18" t="s">
        <v>167</v>
      </c>
      <c r="B257" s="14" t="s">
        <v>168</v>
      </c>
      <c r="C257" s="14"/>
      <c r="D257" s="26">
        <f>SUM(D258,D263,D268,D273,D278,D283,D288,D294,D299,D304,D309,D314,D319,D324,D329,D335,D341,D346,D349,D332,D338)</f>
        <v>797564080</v>
      </c>
      <c r="E257" s="26">
        <f>SUM(E258,E263,E268,E273,E278,E283,E288,E294,E299,E304,E309,E314,E319,E324,E329,E335,E341,E346,E349,E332,E338)</f>
        <v>18629370</v>
      </c>
      <c r="F257" s="53">
        <f t="shared" si="1"/>
        <v>816193450</v>
      </c>
    </row>
    <row r="258" spans="1:6" s="10" customFormat="1" ht="31.5">
      <c r="A258" s="17" t="s">
        <v>169</v>
      </c>
      <c r="B258" s="16" t="s">
        <v>170</v>
      </c>
      <c r="C258" s="16"/>
      <c r="D258" s="55">
        <f>D261+D259</f>
        <v>89407581</v>
      </c>
      <c r="E258" s="55">
        <f>E261+E259</f>
        <v>0</v>
      </c>
      <c r="F258" s="53">
        <f t="shared" si="1"/>
        <v>89407581</v>
      </c>
    </row>
    <row r="259" spans="1:6" s="10" customFormat="1" ht="31.5">
      <c r="A259" s="21" t="s">
        <v>7</v>
      </c>
      <c r="B259" s="16" t="s">
        <v>170</v>
      </c>
      <c r="C259" s="16">
        <v>200</v>
      </c>
      <c r="D259" s="55">
        <f>D260</f>
        <v>868342</v>
      </c>
      <c r="E259" s="55">
        <f>E260</f>
        <v>0</v>
      </c>
      <c r="F259" s="53">
        <f t="shared" si="1"/>
        <v>868342</v>
      </c>
    </row>
    <row r="260" spans="1:6" s="10" customFormat="1" ht="31.5">
      <c r="A260" s="17" t="s">
        <v>8</v>
      </c>
      <c r="B260" s="16" t="s">
        <v>170</v>
      </c>
      <c r="C260" s="16">
        <v>240</v>
      </c>
      <c r="D260" s="55">
        <v>868342</v>
      </c>
      <c r="E260" s="55">
        <v>0</v>
      </c>
      <c r="F260" s="53">
        <f t="shared" si="1"/>
        <v>868342</v>
      </c>
    </row>
    <row r="261" spans="1:6" s="10" customFormat="1" ht="16.5">
      <c r="A261" s="17" t="s">
        <v>9</v>
      </c>
      <c r="B261" s="16" t="s">
        <v>170</v>
      </c>
      <c r="C261" s="16">
        <v>300</v>
      </c>
      <c r="D261" s="55">
        <f>D262</f>
        <v>88539239</v>
      </c>
      <c r="E261" s="55">
        <f>E262</f>
        <v>0</v>
      </c>
      <c r="F261" s="53">
        <f t="shared" si="1"/>
        <v>88539239</v>
      </c>
    </row>
    <row r="262" spans="1:6" s="10" customFormat="1" ht="16.5">
      <c r="A262" s="17" t="s">
        <v>171</v>
      </c>
      <c r="B262" s="16" t="s">
        <v>170</v>
      </c>
      <c r="C262" s="16">
        <v>310</v>
      </c>
      <c r="D262" s="55">
        <v>88539239</v>
      </c>
      <c r="E262" s="55">
        <v>0</v>
      </c>
      <c r="F262" s="53">
        <f t="shared" si="1"/>
        <v>88539239</v>
      </c>
    </row>
    <row r="263" spans="1:6" s="10" customFormat="1" ht="47.25">
      <c r="A263" s="17" t="s">
        <v>172</v>
      </c>
      <c r="B263" s="16" t="s">
        <v>173</v>
      </c>
      <c r="C263" s="16"/>
      <c r="D263" s="55">
        <f>D266+D264</f>
        <v>9385591</v>
      </c>
      <c r="E263" s="55">
        <f>E266+E264</f>
        <v>129370</v>
      </c>
      <c r="F263" s="53">
        <f t="shared" si="1"/>
        <v>9514961</v>
      </c>
    </row>
    <row r="264" spans="1:6" s="10" customFormat="1" ht="31.5">
      <c r="A264" s="21" t="s">
        <v>7</v>
      </c>
      <c r="B264" s="16" t="s">
        <v>173</v>
      </c>
      <c r="C264" s="16">
        <v>200</v>
      </c>
      <c r="D264" s="55">
        <f>D265</f>
        <v>92320</v>
      </c>
      <c r="E264" s="55">
        <f>E265</f>
        <v>935.73</v>
      </c>
      <c r="F264" s="53">
        <f t="shared" si="1"/>
        <v>93255.73</v>
      </c>
    </row>
    <row r="265" spans="1:6" s="10" customFormat="1" ht="31.5">
      <c r="A265" s="17" t="s">
        <v>8</v>
      </c>
      <c r="B265" s="16" t="s">
        <v>173</v>
      </c>
      <c r="C265" s="16">
        <v>240</v>
      </c>
      <c r="D265" s="55">
        <v>92320</v>
      </c>
      <c r="E265" s="55">
        <f>439.03+496.7</f>
        <v>935.73</v>
      </c>
      <c r="F265" s="53">
        <f t="shared" si="1"/>
        <v>93255.73</v>
      </c>
    </row>
    <row r="266" spans="1:6" s="10" customFormat="1" ht="16.5">
      <c r="A266" s="17" t="s">
        <v>9</v>
      </c>
      <c r="B266" s="16" t="s">
        <v>173</v>
      </c>
      <c r="C266" s="16">
        <v>300</v>
      </c>
      <c r="D266" s="55">
        <f>D267</f>
        <v>9293271</v>
      </c>
      <c r="E266" s="55">
        <f>E267</f>
        <v>128434.27</v>
      </c>
      <c r="F266" s="53">
        <f t="shared" si="1"/>
        <v>9421705.27</v>
      </c>
    </row>
    <row r="267" spans="1:6" s="10" customFormat="1" ht="16.5">
      <c r="A267" s="17" t="s">
        <v>171</v>
      </c>
      <c r="B267" s="16" t="s">
        <v>173</v>
      </c>
      <c r="C267" s="16">
        <v>310</v>
      </c>
      <c r="D267" s="55">
        <v>9293271</v>
      </c>
      <c r="E267" s="55">
        <f>78699.97+49734.3</f>
        <v>128434.27</v>
      </c>
      <c r="F267" s="53">
        <f t="shared" si="1"/>
        <v>9421705.27</v>
      </c>
    </row>
    <row r="268" spans="1:6" s="10" customFormat="1" ht="31.5">
      <c r="A268" s="17" t="s">
        <v>174</v>
      </c>
      <c r="B268" s="16" t="s">
        <v>175</v>
      </c>
      <c r="C268" s="16"/>
      <c r="D268" s="55">
        <f>D271+D269</f>
        <v>30326952</v>
      </c>
      <c r="E268" s="55">
        <f>E271+E269</f>
        <v>0</v>
      </c>
      <c r="F268" s="53">
        <f t="shared" si="1"/>
        <v>30326952</v>
      </c>
    </row>
    <row r="269" spans="1:6" s="10" customFormat="1" ht="31.5">
      <c r="A269" s="21" t="s">
        <v>7</v>
      </c>
      <c r="B269" s="16" t="s">
        <v>175</v>
      </c>
      <c r="C269" s="16">
        <v>200</v>
      </c>
      <c r="D269" s="55">
        <f>D270</f>
        <v>300593</v>
      </c>
      <c r="E269" s="55">
        <f>E270</f>
        <v>0</v>
      </c>
      <c r="F269" s="53">
        <f t="shared" si="1"/>
        <v>300593</v>
      </c>
    </row>
    <row r="270" spans="1:6" s="10" customFormat="1" ht="31.5">
      <c r="A270" s="17" t="s">
        <v>8</v>
      </c>
      <c r="B270" s="16" t="s">
        <v>175</v>
      </c>
      <c r="C270" s="16">
        <v>240</v>
      </c>
      <c r="D270" s="55">
        <v>300593</v>
      </c>
      <c r="E270" s="55">
        <v>0</v>
      </c>
      <c r="F270" s="53">
        <f t="shared" si="1"/>
        <v>300593</v>
      </c>
    </row>
    <row r="271" spans="1:6" s="10" customFormat="1" ht="16.5">
      <c r="A271" s="17" t="s">
        <v>9</v>
      </c>
      <c r="B271" s="16" t="s">
        <v>175</v>
      </c>
      <c r="C271" s="16">
        <v>300</v>
      </c>
      <c r="D271" s="55">
        <f>D272</f>
        <v>30026359</v>
      </c>
      <c r="E271" s="55">
        <f>E272</f>
        <v>0</v>
      </c>
      <c r="F271" s="53">
        <f t="shared" si="1"/>
        <v>30026359</v>
      </c>
    </row>
    <row r="272" spans="1:6" s="10" customFormat="1" ht="16.5">
      <c r="A272" s="17" t="s">
        <v>171</v>
      </c>
      <c r="B272" s="16" t="s">
        <v>175</v>
      </c>
      <c r="C272" s="16">
        <v>310</v>
      </c>
      <c r="D272" s="55">
        <v>30026359</v>
      </c>
      <c r="E272" s="55">
        <v>0</v>
      </c>
      <c r="F272" s="53">
        <f t="shared" si="1"/>
        <v>30026359</v>
      </c>
    </row>
    <row r="273" spans="1:6" s="10" customFormat="1" ht="31.5">
      <c r="A273" s="17" t="s">
        <v>176</v>
      </c>
      <c r="B273" s="16" t="s">
        <v>177</v>
      </c>
      <c r="C273" s="16"/>
      <c r="D273" s="55">
        <f>D276+D274</f>
        <v>10692781</v>
      </c>
      <c r="E273" s="55">
        <f>E276+E274</f>
        <v>6000000</v>
      </c>
      <c r="F273" s="53">
        <f t="shared" si="1"/>
        <v>16692781</v>
      </c>
    </row>
    <row r="274" spans="1:6" s="10" customFormat="1" ht="31.5">
      <c r="A274" s="21" t="s">
        <v>7</v>
      </c>
      <c r="B274" s="16" t="s">
        <v>177</v>
      </c>
      <c r="C274" s="16">
        <v>200</v>
      </c>
      <c r="D274" s="55">
        <f>D275</f>
        <v>625078</v>
      </c>
      <c r="E274" s="55">
        <f>E275</f>
        <v>400000</v>
      </c>
      <c r="F274" s="53">
        <f t="shared" si="1"/>
        <v>1025078</v>
      </c>
    </row>
    <row r="275" spans="1:6" s="10" customFormat="1" ht="31.5">
      <c r="A275" s="17" t="s">
        <v>8</v>
      </c>
      <c r="B275" s="16" t="s">
        <v>177</v>
      </c>
      <c r="C275" s="16">
        <v>240</v>
      </c>
      <c r="D275" s="55">
        <v>625078</v>
      </c>
      <c r="E275" s="55">
        <v>400000</v>
      </c>
      <c r="F275" s="53">
        <f t="shared" si="1"/>
        <v>1025078</v>
      </c>
    </row>
    <row r="276" spans="1:6" s="10" customFormat="1" ht="16.5">
      <c r="A276" s="17" t="s">
        <v>9</v>
      </c>
      <c r="B276" s="16" t="s">
        <v>177</v>
      </c>
      <c r="C276" s="16">
        <v>300</v>
      </c>
      <c r="D276" s="55">
        <f>D277</f>
        <v>10067703</v>
      </c>
      <c r="E276" s="55">
        <f>E277</f>
        <v>5600000</v>
      </c>
      <c r="F276" s="53">
        <f t="shared" si="1"/>
        <v>15667703</v>
      </c>
    </row>
    <row r="277" spans="1:6" s="10" customFormat="1" ht="16.5">
      <c r="A277" s="17" t="s">
        <v>171</v>
      </c>
      <c r="B277" s="16" t="s">
        <v>177</v>
      </c>
      <c r="C277" s="16">
        <v>310</v>
      </c>
      <c r="D277" s="55">
        <v>10067703</v>
      </c>
      <c r="E277" s="55">
        <v>5600000</v>
      </c>
      <c r="F277" s="53">
        <f t="shared" si="1"/>
        <v>15667703</v>
      </c>
    </row>
    <row r="278" spans="1:6" s="10" customFormat="1" ht="47.25">
      <c r="A278" s="17" t="s">
        <v>178</v>
      </c>
      <c r="B278" s="16" t="s">
        <v>179</v>
      </c>
      <c r="C278" s="16"/>
      <c r="D278" s="55">
        <f>D281+D279</f>
        <v>531129</v>
      </c>
      <c r="E278" s="55">
        <f>E281+E279</f>
        <v>300000</v>
      </c>
      <c r="F278" s="53">
        <f t="shared" si="1"/>
        <v>831129</v>
      </c>
    </row>
    <row r="279" spans="1:6" s="10" customFormat="1" ht="31.5">
      <c r="A279" s="21" t="s">
        <v>7</v>
      </c>
      <c r="B279" s="16" t="s">
        <v>179</v>
      </c>
      <c r="C279" s="16">
        <v>200</v>
      </c>
      <c r="D279" s="55">
        <f>D280</f>
        <v>5137</v>
      </c>
      <c r="E279" s="55">
        <f>E280</f>
        <v>3000</v>
      </c>
      <c r="F279" s="53">
        <f t="shared" si="1"/>
        <v>8137</v>
      </c>
    </row>
    <row r="280" spans="1:6" s="10" customFormat="1" ht="31.5">
      <c r="A280" s="17" t="s">
        <v>8</v>
      </c>
      <c r="B280" s="16" t="s">
        <v>179</v>
      </c>
      <c r="C280" s="16">
        <v>240</v>
      </c>
      <c r="D280" s="55">
        <v>5137</v>
      </c>
      <c r="E280" s="55">
        <v>3000</v>
      </c>
      <c r="F280" s="53">
        <f t="shared" si="1"/>
        <v>8137</v>
      </c>
    </row>
    <row r="281" spans="1:6" s="10" customFormat="1" ht="16.5">
      <c r="A281" s="17" t="s">
        <v>9</v>
      </c>
      <c r="B281" s="16" t="s">
        <v>179</v>
      </c>
      <c r="C281" s="16">
        <v>300</v>
      </c>
      <c r="D281" s="55">
        <f>D282</f>
        <v>525992</v>
      </c>
      <c r="E281" s="55">
        <f>E282</f>
        <v>297000</v>
      </c>
      <c r="F281" s="53">
        <f t="shared" si="1"/>
        <v>822992</v>
      </c>
    </row>
    <row r="282" spans="1:6" s="10" customFormat="1" ht="16.5">
      <c r="A282" s="17" t="s">
        <v>171</v>
      </c>
      <c r="B282" s="16" t="s">
        <v>179</v>
      </c>
      <c r="C282" s="16">
        <v>310</v>
      </c>
      <c r="D282" s="54">
        <f>525993-1</f>
        <v>525992</v>
      </c>
      <c r="E282" s="54">
        <v>297000</v>
      </c>
      <c r="F282" s="53">
        <f t="shared" si="1"/>
        <v>822992</v>
      </c>
    </row>
    <row r="283" spans="1:6" s="10" customFormat="1" ht="47.25">
      <c r="A283" s="18" t="s">
        <v>180</v>
      </c>
      <c r="B283" s="14" t="s">
        <v>181</v>
      </c>
      <c r="C283" s="14"/>
      <c r="D283" s="26">
        <f>D286+D284</f>
        <v>3282500</v>
      </c>
      <c r="E283" s="26">
        <f>E286+E284</f>
        <v>0</v>
      </c>
      <c r="F283" s="53">
        <f t="shared" si="1"/>
        <v>3282500</v>
      </c>
    </row>
    <row r="284" spans="1:6" s="10" customFormat="1" ht="31.5">
      <c r="A284" s="20" t="s">
        <v>7</v>
      </c>
      <c r="B284" s="14" t="s">
        <v>181</v>
      </c>
      <c r="C284" s="14">
        <v>200</v>
      </c>
      <c r="D284" s="53">
        <f>D285</f>
        <v>32500</v>
      </c>
      <c r="E284" s="53">
        <f>E285</f>
        <v>0</v>
      </c>
      <c r="F284" s="53">
        <f t="shared" si="1"/>
        <v>32500</v>
      </c>
    </row>
    <row r="285" spans="1:6" s="10" customFormat="1" ht="31.5">
      <c r="A285" s="18" t="s">
        <v>8</v>
      </c>
      <c r="B285" s="14" t="s">
        <v>181</v>
      </c>
      <c r="C285" s="14">
        <v>240</v>
      </c>
      <c r="D285" s="53">
        <v>32500</v>
      </c>
      <c r="E285" s="53">
        <v>0</v>
      </c>
      <c r="F285" s="53">
        <f t="shared" si="1"/>
        <v>32500</v>
      </c>
    </row>
    <row r="286" spans="1:6" s="10" customFormat="1" ht="16.5">
      <c r="A286" s="18" t="s">
        <v>9</v>
      </c>
      <c r="B286" s="14" t="s">
        <v>181</v>
      </c>
      <c r="C286" s="14">
        <v>300</v>
      </c>
      <c r="D286" s="53">
        <f>D287</f>
        <v>3250000</v>
      </c>
      <c r="E286" s="53">
        <f>E287</f>
        <v>0</v>
      </c>
      <c r="F286" s="53">
        <f t="shared" si="1"/>
        <v>3250000</v>
      </c>
    </row>
    <row r="287" spans="1:6" s="10" customFormat="1" ht="31.5">
      <c r="A287" s="17" t="s">
        <v>10</v>
      </c>
      <c r="B287" s="14" t="s">
        <v>181</v>
      </c>
      <c r="C287" s="14">
        <v>320</v>
      </c>
      <c r="D287" s="53">
        <v>3250000</v>
      </c>
      <c r="E287" s="53">
        <v>0</v>
      </c>
      <c r="F287" s="53">
        <f t="shared" si="1"/>
        <v>3250000</v>
      </c>
    </row>
    <row r="288" spans="1:6" s="10" customFormat="1" ht="47.25">
      <c r="A288" s="17" t="s">
        <v>182</v>
      </c>
      <c r="B288" s="16" t="s">
        <v>183</v>
      </c>
      <c r="C288" s="16"/>
      <c r="D288" s="55">
        <f>D291+D289</f>
        <v>342231292</v>
      </c>
      <c r="E288" s="55">
        <f>E291+E289</f>
        <v>0</v>
      </c>
      <c r="F288" s="53">
        <f t="shared" si="1"/>
        <v>342231292</v>
      </c>
    </row>
    <row r="289" spans="1:6" s="10" customFormat="1" ht="31.5">
      <c r="A289" s="21" t="s">
        <v>7</v>
      </c>
      <c r="B289" s="16" t="s">
        <v>183</v>
      </c>
      <c r="C289" s="16">
        <v>200</v>
      </c>
      <c r="D289" s="55">
        <f>D290</f>
        <v>4073702</v>
      </c>
      <c r="E289" s="55">
        <f>E290</f>
        <v>0</v>
      </c>
      <c r="F289" s="53">
        <f t="shared" si="1"/>
        <v>4073702</v>
      </c>
    </row>
    <row r="290" spans="1:6" s="10" customFormat="1" ht="31.5">
      <c r="A290" s="17" t="s">
        <v>8</v>
      </c>
      <c r="B290" s="16" t="s">
        <v>183</v>
      </c>
      <c r="C290" s="16">
        <v>240</v>
      </c>
      <c r="D290" s="55">
        <v>4073702</v>
      </c>
      <c r="E290" s="55">
        <v>0</v>
      </c>
      <c r="F290" s="53">
        <f t="shared" si="1"/>
        <v>4073702</v>
      </c>
    </row>
    <row r="291" spans="1:6" s="10" customFormat="1" ht="16.5">
      <c r="A291" s="17" t="s">
        <v>9</v>
      </c>
      <c r="B291" s="16" t="s">
        <v>183</v>
      </c>
      <c r="C291" s="16">
        <v>300</v>
      </c>
      <c r="D291" s="55">
        <f>SUM(D292:D293)</f>
        <v>338157590</v>
      </c>
      <c r="E291" s="55">
        <f>SUM(E292:E293)</f>
        <v>0</v>
      </c>
      <c r="F291" s="53">
        <f t="shared" si="1"/>
        <v>338157590</v>
      </c>
    </row>
    <row r="292" spans="1:6" s="10" customFormat="1" ht="16.5">
      <c r="A292" s="17" t="s">
        <v>171</v>
      </c>
      <c r="B292" s="16" t="s">
        <v>183</v>
      </c>
      <c r="C292" s="16">
        <v>310</v>
      </c>
      <c r="D292" s="55">
        <v>293978264</v>
      </c>
      <c r="E292" s="55">
        <v>0</v>
      </c>
      <c r="F292" s="53">
        <f t="shared" si="1"/>
        <v>293978264</v>
      </c>
    </row>
    <row r="293" spans="1:6" s="10" customFormat="1" ht="31.5">
      <c r="A293" s="17" t="s">
        <v>10</v>
      </c>
      <c r="B293" s="16" t="s">
        <v>183</v>
      </c>
      <c r="C293" s="16">
        <v>320</v>
      </c>
      <c r="D293" s="55">
        <v>44179326</v>
      </c>
      <c r="E293" s="55">
        <v>0</v>
      </c>
      <c r="F293" s="53">
        <f t="shared" si="1"/>
        <v>44179326</v>
      </c>
    </row>
    <row r="294" spans="1:6" s="10" customFormat="1" ht="47.25">
      <c r="A294" s="17" t="s">
        <v>184</v>
      </c>
      <c r="B294" s="16" t="s">
        <v>185</v>
      </c>
      <c r="C294" s="16"/>
      <c r="D294" s="55">
        <f>D297+D295</f>
        <v>51233</v>
      </c>
      <c r="E294" s="55">
        <f>E297+E295</f>
        <v>0</v>
      </c>
      <c r="F294" s="53">
        <f aca="true" t="shared" si="2" ref="F294:F357">SUM(D294:E294)</f>
        <v>51233</v>
      </c>
    </row>
    <row r="295" spans="1:6" s="10" customFormat="1" ht="31.5">
      <c r="A295" s="21" t="s">
        <v>7</v>
      </c>
      <c r="B295" s="16" t="s">
        <v>185</v>
      </c>
      <c r="C295" s="16">
        <v>200</v>
      </c>
      <c r="D295" s="55">
        <f>D296</f>
        <v>508</v>
      </c>
      <c r="E295" s="55">
        <f>E296</f>
        <v>0</v>
      </c>
      <c r="F295" s="53">
        <f t="shared" si="2"/>
        <v>508</v>
      </c>
    </row>
    <row r="296" spans="1:6" s="10" customFormat="1" ht="31.5">
      <c r="A296" s="17" t="s">
        <v>8</v>
      </c>
      <c r="B296" s="16" t="s">
        <v>185</v>
      </c>
      <c r="C296" s="16">
        <v>240</v>
      </c>
      <c r="D296" s="55">
        <v>508</v>
      </c>
      <c r="E296" s="55">
        <v>0</v>
      </c>
      <c r="F296" s="53">
        <f t="shared" si="2"/>
        <v>508</v>
      </c>
    </row>
    <row r="297" spans="1:6" s="10" customFormat="1" ht="16.5">
      <c r="A297" s="17" t="s">
        <v>9</v>
      </c>
      <c r="B297" s="16" t="s">
        <v>185</v>
      </c>
      <c r="C297" s="16">
        <v>300</v>
      </c>
      <c r="D297" s="55">
        <f>D298</f>
        <v>50725</v>
      </c>
      <c r="E297" s="55">
        <f>E298</f>
        <v>0</v>
      </c>
      <c r="F297" s="53">
        <f t="shared" si="2"/>
        <v>50725</v>
      </c>
    </row>
    <row r="298" spans="1:6" s="10" customFormat="1" ht="16.5">
      <c r="A298" s="17" t="s">
        <v>171</v>
      </c>
      <c r="B298" s="16" t="s">
        <v>185</v>
      </c>
      <c r="C298" s="16">
        <v>310</v>
      </c>
      <c r="D298" s="55">
        <v>50725</v>
      </c>
      <c r="E298" s="55">
        <v>0</v>
      </c>
      <c r="F298" s="53">
        <f t="shared" si="2"/>
        <v>50725</v>
      </c>
    </row>
    <row r="299" spans="1:6" s="10" customFormat="1" ht="31.5">
      <c r="A299" s="18" t="s">
        <v>186</v>
      </c>
      <c r="B299" s="14" t="s">
        <v>187</v>
      </c>
      <c r="C299" s="14"/>
      <c r="D299" s="26">
        <f>D302+D300</f>
        <v>505000</v>
      </c>
      <c r="E299" s="26">
        <f>E302+E300</f>
        <v>0</v>
      </c>
      <c r="F299" s="53">
        <f t="shared" si="2"/>
        <v>505000</v>
      </c>
    </row>
    <row r="300" spans="1:6" s="10" customFormat="1" ht="31.5">
      <c r="A300" s="20" t="s">
        <v>7</v>
      </c>
      <c r="B300" s="14" t="s">
        <v>187</v>
      </c>
      <c r="C300" s="14">
        <v>200</v>
      </c>
      <c r="D300" s="26">
        <f>D301</f>
        <v>5000</v>
      </c>
      <c r="E300" s="26">
        <f>E301</f>
        <v>0</v>
      </c>
      <c r="F300" s="53">
        <f t="shared" si="2"/>
        <v>5000</v>
      </c>
    </row>
    <row r="301" spans="1:6" s="10" customFormat="1" ht="31.5">
      <c r="A301" s="18" t="s">
        <v>8</v>
      </c>
      <c r="B301" s="14" t="s">
        <v>187</v>
      </c>
      <c r="C301" s="14">
        <v>240</v>
      </c>
      <c r="D301" s="26">
        <v>5000</v>
      </c>
      <c r="E301" s="26">
        <v>0</v>
      </c>
      <c r="F301" s="53">
        <f t="shared" si="2"/>
        <v>5000</v>
      </c>
    </row>
    <row r="302" spans="1:6" s="10" customFormat="1" ht="16.5">
      <c r="A302" s="18" t="s">
        <v>9</v>
      </c>
      <c r="B302" s="14" t="s">
        <v>187</v>
      </c>
      <c r="C302" s="14">
        <v>300</v>
      </c>
      <c r="D302" s="26">
        <f>D303</f>
        <v>500000</v>
      </c>
      <c r="E302" s="26">
        <f>E303</f>
        <v>0</v>
      </c>
      <c r="F302" s="53">
        <f t="shared" si="2"/>
        <v>500000</v>
      </c>
    </row>
    <row r="303" spans="1:6" s="10" customFormat="1" ht="16.5">
      <c r="A303" s="18" t="s">
        <v>171</v>
      </c>
      <c r="B303" s="14" t="s">
        <v>187</v>
      </c>
      <c r="C303" s="14">
        <v>310</v>
      </c>
      <c r="D303" s="26">
        <v>500000</v>
      </c>
      <c r="E303" s="26">
        <v>0</v>
      </c>
      <c r="F303" s="53">
        <f t="shared" si="2"/>
        <v>500000</v>
      </c>
    </row>
    <row r="304" spans="1:6" s="10" customFormat="1" ht="63">
      <c r="A304" s="18" t="s">
        <v>188</v>
      </c>
      <c r="B304" s="14" t="s">
        <v>189</v>
      </c>
      <c r="C304" s="14"/>
      <c r="D304" s="26">
        <f>D307+D305</f>
        <v>110000</v>
      </c>
      <c r="E304" s="26">
        <f>E307+E305</f>
        <v>0</v>
      </c>
      <c r="F304" s="53">
        <f t="shared" si="2"/>
        <v>110000</v>
      </c>
    </row>
    <row r="305" spans="1:6" s="10" customFormat="1" ht="31.5">
      <c r="A305" s="20" t="s">
        <v>7</v>
      </c>
      <c r="B305" s="14" t="s">
        <v>189</v>
      </c>
      <c r="C305" s="14">
        <v>200</v>
      </c>
      <c r="D305" s="26">
        <f>D306</f>
        <v>10000</v>
      </c>
      <c r="E305" s="26">
        <f>E306</f>
        <v>0</v>
      </c>
      <c r="F305" s="53">
        <f t="shared" si="2"/>
        <v>10000</v>
      </c>
    </row>
    <row r="306" spans="1:6" s="10" customFormat="1" ht="31.5">
      <c r="A306" s="18" t="s">
        <v>8</v>
      </c>
      <c r="B306" s="14" t="s">
        <v>189</v>
      </c>
      <c r="C306" s="14">
        <v>240</v>
      </c>
      <c r="D306" s="26">
        <v>10000</v>
      </c>
      <c r="E306" s="26">
        <v>0</v>
      </c>
      <c r="F306" s="53">
        <f t="shared" si="2"/>
        <v>10000</v>
      </c>
    </row>
    <row r="307" spans="1:6" s="10" customFormat="1" ht="16.5">
      <c r="A307" s="18" t="s">
        <v>9</v>
      </c>
      <c r="B307" s="14" t="s">
        <v>189</v>
      </c>
      <c r="C307" s="14">
        <v>300</v>
      </c>
      <c r="D307" s="26">
        <f>D308</f>
        <v>100000</v>
      </c>
      <c r="E307" s="26">
        <f>E308</f>
        <v>0</v>
      </c>
      <c r="F307" s="53">
        <f t="shared" si="2"/>
        <v>100000</v>
      </c>
    </row>
    <row r="308" spans="1:6" s="10" customFormat="1" ht="16.5">
      <c r="A308" s="18" t="s">
        <v>171</v>
      </c>
      <c r="B308" s="14" t="s">
        <v>189</v>
      </c>
      <c r="C308" s="14">
        <v>310</v>
      </c>
      <c r="D308" s="26">
        <v>100000</v>
      </c>
      <c r="E308" s="26">
        <v>0</v>
      </c>
      <c r="F308" s="53">
        <f t="shared" si="2"/>
        <v>100000</v>
      </c>
    </row>
    <row r="309" spans="1:6" s="10" customFormat="1" ht="31.5">
      <c r="A309" s="18" t="s">
        <v>190</v>
      </c>
      <c r="B309" s="14" t="s">
        <v>191</v>
      </c>
      <c r="C309" s="14"/>
      <c r="D309" s="26">
        <f>D312+D310</f>
        <v>802030</v>
      </c>
      <c r="E309" s="26">
        <f>E312+E310</f>
        <v>0</v>
      </c>
      <c r="F309" s="53">
        <f t="shared" si="2"/>
        <v>802030</v>
      </c>
    </row>
    <row r="310" spans="1:6" s="10" customFormat="1" ht="31.5">
      <c r="A310" s="20" t="s">
        <v>7</v>
      </c>
      <c r="B310" s="14" t="s">
        <v>191</v>
      </c>
      <c r="C310" s="14">
        <v>200</v>
      </c>
      <c r="D310" s="26">
        <f>D311</f>
        <v>193030</v>
      </c>
      <c r="E310" s="26">
        <f>E311</f>
        <v>0</v>
      </c>
      <c r="F310" s="53">
        <f t="shared" si="2"/>
        <v>193030</v>
      </c>
    </row>
    <row r="311" spans="1:6" s="10" customFormat="1" ht="31.5">
      <c r="A311" s="18" t="s">
        <v>8</v>
      </c>
      <c r="B311" s="14" t="s">
        <v>191</v>
      </c>
      <c r="C311" s="14">
        <v>240</v>
      </c>
      <c r="D311" s="26">
        <v>193030</v>
      </c>
      <c r="E311" s="26">
        <v>0</v>
      </c>
      <c r="F311" s="53">
        <f t="shared" si="2"/>
        <v>193030</v>
      </c>
    </row>
    <row r="312" spans="1:6" s="10" customFormat="1" ht="16.5">
      <c r="A312" s="18" t="s">
        <v>9</v>
      </c>
      <c r="B312" s="14" t="s">
        <v>191</v>
      </c>
      <c r="C312" s="14">
        <v>300</v>
      </c>
      <c r="D312" s="26">
        <f>D313</f>
        <v>609000</v>
      </c>
      <c r="E312" s="26">
        <f>E313</f>
        <v>0</v>
      </c>
      <c r="F312" s="53">
        <f t="shared" si="2"/>
        <v>609000</v>
      </c>
    </row>
    <row r="313" spans="1:6" s="10" customFormat="1" ht="31.5">
      <c r="A313" s="18" t="s">
        <v>10</v>
      </c>
      <c r="B313" s="14" t="s">
        <v>191</v>
      </c>
      <c r="C313" s="14">
        <v>320</v>
      </c>
      <c r="D313" s="26">
        <v>609000</v>
      </c>
      <c r="E313" s="26">
        <v>0</v>
      </c>
      <c r="F313" s="53">
        <f t="shared" si="2"/>
        <v>609000</v>
      </c>
    </row>
    <row r="314" spans="1:6" s="10" customFormat="1" ht="47.25">
      <c r="A314" s="18" t="s">
        <v>192</v>
      </c>
      <c r="B314" s="14" t="s">
        <v>193</v>
      </c>
      <c r="C314" s="14"/>
      <c r="D314" s="26">
        <f>D317+D315</f>
        <v>3926000</v>
      </c>
      <c r="E314" s="26">
        <f>E317+E315</f>
        <v>0</v>
      </c>
      <c r="F314" s="53">
        <f t="shared" si="2"/>
        <v>3926000</v>
      </c>
    </row>
    <row r="315" spans="1:6" s="10" customFormat="1" ht="31.5">
      <c r="A315" s="20" t="s">
        <v>7</v>
      </c>
      <c r="B315" s="14" t="s">
        <v>193</v>
      </c>
      <c r="C315" s="14">
        <v>200</v>
      </c>
      <c r="D315" s="26">
        <f>D316</f>
        <v>41000</v>
      </c>
      <c r="E315" s="26">
        <f>E316</f>
        <v>0</v>
      </c>
      <c r="F315" s="53">
        <f t="shared" si="2"/>
        <v>41000</v>
      </c>
    </row>
    <row r="316" spans="1:6" s="10" customFormat="1" ht="31.5">
      <c r="A316" s="18" t="s">
        <v>8</v>
      </c>
      <c r="B316" s="14" t="s">
        <v>193</v>
      </c>
      <c r="C316" s="14">
        <v>240</v>
      </c>
      <c r="D316" s="26">
        <v>41000</v>
      </c>
      <c r="E316" s="26">
        <v>0</v>
      </c>
      <c r="F316" s="53">
        <f t="shared" si="2"/>
        <v>41000</v>
      </c>
    </row>
    <row r="317" spans="1:6" s="10" customFormat="1" ht="16.5">
      <c r="A317" s="18" t="s">
        <v>9</v>
      </c>
      <c r="B317" s="14" t="s">
        <v>193</v>
      </c>
      <c r="C317" s="14">
        <v>300</v>
      </c>
      <c r="D317" s="26">
        <f>D318</f>
        <v>3885000</v>
      </c>
      <c r="E317" s="26">
        <f>E318</f>
        <v>0</v>
      </c>
      <c r="F317" s="53">
        <f t="shared" si="2"/>
        <v>3885000</v>
      </c>
    </row>
    <row r="318" spans="1:6" s="10" customFormat="1" ht="16.5">
      <c r="A318" s="18" t="s">
        <v>171</v>
      </c>
      <c r="B318" s="14" t="s">
        <v>193</v>
      </c>
      <c r="C318" s="14">
        <v>310</v>
      </c>
      <c r="D318" s="26">
        <v>3885000</v>
      </c>
      <c r="E318" s="26">
        <v>0</v>
      </c>
      <c r="F318" s="53">
        <f t="shared" si="2"/>
        <v>3885000</v>
      </c>
    </row>
    <row r="319" spans="1:6" s="10" customFormat="1" ht="16.5">
      <c r="A319" s="18" t="s">
        <v>194</v>
      </c>
      <c r="B319" s="14" t="s">
        <v>195</v>
      </c>
      <c r="C319" s="14"/>
      <c r="D319" s="26">
        <f>D322+D320</f>
        <v>242400</v>
      </c>
      <c r="E319" s="26">
        <f>E322+E320</f>
        <v>0</v>
      </c>
      <c r="F319" s="53">
        <f t="shared" si="2"/>
        <v>242400</v>
      </c>
    </row>
    <row r="320" spans="1:6" s="10" customFormat="1" ht="31.5">
      <c r="A320" s="20" t="s">
        <v>7</v>
      </c>
      <c r="B320" s="14" t="s">
        <v>195</v>
      </c>
      <c r="C320" s="14">
        <v>200</v>
      </c>
      <c r="D320" s="26">
        <f>D321</f>
        <v>2400</v>
      </c>
      <c r="E320" s="26">
        <f>E321</f>
        <v>0</v>
      </c>
      <c r="F320" s="53">
        <f t="shared" si="2"/>
        <v>2400</v>
      </c>
    </row>
    <row r="321" spans="1:6" s="10" customFormat="1" ht="31.5">
      <c r="A321" s="18" t="s">
        <v>8</v>
      </c>
      <c r="B321" s="14" t="s">
        <v>195</v>
      </c>
      <c r="C321" s="14">
        <v>240</v>
      </c>
      <c r="D321" s="26">
        <v>2400</v>
      </c>
      <c r="E321" s="26">
        <v>0</v>
      </c>
      <c r="F321" s="53">
        <f t="shared" si="2"/>
        <v>2400</v>
      </c>
    </row>
    <row r="322" spans="1:6" s="10" customFormat="1" ht="16.5">
      <c r="A322" s="18" t="s">
        <v>9</v>
      </c>
      <c r="B322" s="14" t="s">
        <v>195</v>
      </c>
      <c r="C322" s="14">
        <v>300</v>
      </c>
      <c r="D322" s="26">
        <f>D323</f>
        <v>240000</v>
      </c>
      <c r="E322" s="26">
        <f>E323</f>
        <v>0</v>
      </c>
      <c r="F322" s="53">
        <f t="shared" si="2"/>
        <v>240000</v>
      </c>
    </row>
    <row r="323" spans="1:6" s="10" customFormat="1" ht="16.5">
      <c r="A323" s="18" t="s">
        <v>171</v>
      </c>
      <c r="B323" s="14" t="s">
        <v>195</v>
      </c>
      <c r="C323" s="14">
        <v>310</v>
      </c>
      <c r="D323" s="26">
        <v>240000</v>
      </c>
      <c r="E323" s="26">
        <v>0</v>
      </c>
      <c r="F323" s="53">
        <f t="shared" si="2"/>
        <v>240000</v>
      </c>
    </row>
    <row r="324" spans="1:6" s="10" customFormat="1" ht="47.25">
      <c r="A324" s="18" t="s">
        <v>196</v>
      </c>
      <c r="B324" s="14" t="s">
        <v>197</v>
      </c>
      <c r="C324" s="14"/>
      <c r="D324" s="53">
        <f>D327+D325</f>
        <v>13686958</v>
      </c>
      <c r="E324" s="53">
        <f>E327+E325</f>
        <v>0</v>
      </c>
      <c r="F324" s="53">
        <f t="shared" si="2"/>
        <v>13686958</v>
      </c>
    </row>
    <row r="325" spans="1:6" s="10" customFormat="1" ht="31.5">
      <c r="A325" s="20" t="s">
        <v>7</v>
      </c>
      <c r="B325" s="14" t="s">
        <v>197</v>
      </c>
      <c r="C325" s="14">
        <v>200</v>
      </c>
      <c r="D325" s="53">
        <f>D326</f>
        <v>135514</v>
      </c>
      <c r="E325" s="53">
        <f>E326</f>
        <v>0</v>
      </c>
      <c r="F325" s="53">
        <f t="shared" si="2"/>
        <v>135514</v>
      </c>
    </row>
    <row r="326" spans="1:6" s="10" customFormat="1" ht="31.5">
      <c r="A326" s="20" t="s">
        <v>8</v>
      </c>
      <c r="B326" s="14" t="s">
        <v>197</v>
      </c>
      <c r="C326" s="14">
        <v>240</v>
      </c>
      <c r="D326" s="53">
        <v>135514</v>
      </c>
      <c r="E326" s="53">
        <v>0</v>
      </c>
      <c r="F326" s="53">
        <f t="shared" si="2"/>
        <v>135514</v>
      </c>
    </row>
    <row r="327" spans="1:6" s="10" customFormat="1" ht="16.5">
      <c r="A327" s="18" t="s">
        <v>9</v>
      </c>
      <c r="B327" s="14" t="s">
        <v>197</v>
      </c>
      <c r="C327" s="14">
        <v>300</v>
      </c>
      <c r="D327" s="53">
        <f>D328</f>
        <v>13551444</v>
      </c>
      <c r="E327" s="53">
        <f>E328</f>
        <v>0</v>
      </c>
      <c r="F327" s="53">
        <f t="shared" si="2"/>
        <v>13551444</v>
      </c>
    </row>
    <row r="328" spans="1:6" s="10" customFormat="1" ht="16.5">
      <c r="A328" s="18" t="s">
        <v>171</v>
      </c>
      <c r="B328" s="14" t="s">
        <v>197</v>
      </c>
      <c r="C328" s="14">
        <v>310</v>
      </c>
      <c r="D328" s="53">
        <v>13551444</v>
      </c>
      <c r="E328" s="53">
        <v>0</v>
      </c>
      <c r="F328" s="53">
        <f t="shared" si="2"/>
        <v>13551444</v>
      </c>
    </row>
    <row r="329" spans="1:6" s="10" customFormat="1" ht="31.5">
      <c r="A329" s="18" t="s">
        <v>198</v>
      </c>
      <c r="B329" s="14" t="s">
        <v>199</v>
      </c>
      <c r="C329" s="14"/>
      <c r="D329" s="53">
        <f>D330</f>
        <v>1000000</v>
      </c>
      <c r="E329" s="53">
        <f>E330</f>
        <v>0</v>
      </c>
      <c r="F329" s="53">
        <f t="shared" si="2"/>
        <v>1000000</v>
      </c>
    </row>
    <row r="330" spans="1:6" s="10" customFormat="1" ht="31.5">
      <c r="A330" s="20" t="s">
        <v>7</v>
      </c>
      <c r="B330" s="14" t="s">
        <v>199</v>
      </c>
      <c r="C330" s="14">
        <v>200</v>
      </c>
      <c r="D330" s="53">
        <f>D331</f>
        <v>1000000</v>
      </c>
      <c r="E330" s="53">
        <f>E331</f>
        <v>0</v>
      </c>
      <c r="F330" s="53">
        <f t="shared" si="2"/>
        <v>1000000</v>
      </c>
    </row>
    <row r="331" spans="1:6" s="10" customFormat="1" ht="31.5">
      <c r="A331" s="20" t="s">
        <v>8</v>
      </c>
      <c r="B331" s="14" t="s">
        <v>199</v>
      </c>
      <c r="C331" s="14">
        <v>240</v>
      </c>
      <c r="D331" s="26">
        <v>1000000</v>
      </c>
      <c r="E331" s="26">
        <v>0</v>
      </c>
      <c r="F331" s="53">
        <f t="shared" si="2"/>
        <v>1000000</v>
      </c>
    </row>
    <row r="332" spans="1:6" s="10" customFormat="1" ht="47.25">
      <c r="A332" s="17" t="s">
        <v>200</v>
      </c>
      <c r="B332" s="16" t="s">
        <v>201</v>
      </c>
      <c r="C332" s="16"/>
      <c r="D332" s="54">
        <f>D333</f>
        <v>2156055</v>
      </c>
      <c r="E332" s="54">
        <f>E333</f>
        <v>0</v>
      </c>
      <c r="F332" s="53">
        <f t="shared" si="2"/>
        <v>2156055</v>
      </c>
    </row>
    <row r="333" spans="1:6" s="10" customFormat="1" ht="16.5">
      <c r="A333" s="17" t="s">
        <v>9</v>
      </c>
      <c r="B333" s="16" t="s">
        <v>201</v>
      </c>
      <c r="C333" s="16">
        <v>300</v>
      </c>
      <c r="D333" s="54">
        <f>D334</f>
        <v>2156055</v>
      </c>
      <c r="E333" s="54">
        <f>E334</f>
        <v>0</v>
      </c>
      <c r="F333" s="53">
        <f t="shared" si="2"/>
        <v>2156055</v>
      </c>
    </row>
    <row r="334" spans="1:6" s="10" customFormat="1" ht="16.5">
      <c r="A334" s="17" t="s">
        <v>171</v>
      </c>
      <c r="B334" s="16" t="s">
        <v>201</v>
      </c>
      <c r="C334" s="16">
        <v>310</v>
      </c>
      <c r="D334" s="54">
        <v>2156055</v>
      </c>
      <c r="E334" s="54">
        <v>0</v>
      </c>
      <c r="F334" s="53">
        <f t="shared" si="2"/>
        <v>2156055</v>
      </c>
    </row>
    <row r="335" spans="1:6" s="10" customFormat="1" ht="31.5">
      <c r="A335" s="17" t="s">
        <v>202</v>
      </c>
      <c r="B335" s="16" t="s">
        <v>203</v>
      </c>
      <c r="C335" s="16"/>
      <c r="D335" s="54">
        <f>D336</f>
        <v>91785414</v>
      </c>
      <c r="E335" s="54">
        <f>E336</f>
        <v>12200000</v>
      </c>
      <c r="F335" s="53">
        <f t="shared" si="2"/>
        <v>103985414</v>
      </c>
    </row>
    <row r="336" spans="1:6" s="10" customFormat="1" ht="16.5">
      <c r="A336" s="17" t="s">
        <v>9</v>
      </c>
      <c r="B336" s="16" t="s">
        <v>203</v>
      </c>
      <c r="C336" s="16">
        <v>300</v>
      </c>
      <c r="D336" s="54">
        <f>D337</f>
        <v>91785414</v>
      </c>
      <c r="E336" s="54">
        <f>E337</f>
        <v>12200000</v>
      </c>
      <c r="F336" s="53">
        <f t="shared" si="2"/>
        <v>103985414</v>
      </c>
    </row>
    <row r="337" spans="1:6" s="10" customFormat="1" ht="16.5">
      <c r="A337" s="18" t="s">
        <v>171</v>
      </c>
      <c r="B337" s="14" t="s">
        <v>203</v>
      </c>
      <c r="C337" s="14">
        <v>310</v>
      </c>
      <c r="D337" s="54">
        <v>91785414</v>
      </c>
      <c r="E337" s="54">
        <v>12200000</v>
      </c>
      <c r="F337" s="53">
        <f t="shared" si="2"/>
        <v>103985414</v>
      </c>
    </row>
    <row r="338" spans="1:6" s="10" customFormat="1" ht="47.25">
      <c r="A338" s="18" t="s">
        <v>204</v>
      </c>
      <c r="B338" s="14" t="s">
        <v>205</v>
      </c>
      <c r="C338" s="14"/>
      <c r="D338" s="53">
        <f>D339</f>
        <v>47924553</v>
      </c>
      <c r="E338" s="53">
        <f>E339</f>
        <v>0</v>
      </c>
      <c r="F338" s="56">
        <f t="shared" si="2"/>
        <v>47924553</v>
      </c>
    </row>
    <row r="339" spans="1:6" s="10" customFormat="1" ht="16.5">
      <c r="A339" s="18" t="s">
        <v>9</v>
      </c>
      <c r="B339" s="14" t="s">
        <v>205</v>
      </c>
      <c r="C339" s="14">
        <v>300</v>
      </c>
      <c r="D339" s="53">
        <f>D340</f>
        <v>47924553</v>
      </c>
      <c r="E339" s="53">
        <f>E340</f>
        <v>0</v>
      </c>
      <c r="F339" s="56">
        <f t="shared" si="2"/>
        <v>47924553</v>
      </c>
    </row>
    <row r="340" spans="1:6" s="10" customFormat="1" ht="31.5">
      <c r="A340" s="17" t="s">
        <v>10</v>
      </c>
      <c r="B340" s="14" t="s">
        <v>205</v>
      </c>
      <c r="C340" s="14">
        <v>320</v>
      </c>
      <c r="D340" s="53">
        <v>47924553</v>
      </c>
      <c r="E340" s="53">
        <v>0</v>
      </c>
      <c r="F340" s="56">
        <f t="shared" si="2"/>
        <v>47924553</v>
      </c>
    </row>
    <row r="341" spans="1:6" s="10" customFormat="1" ht="63">
      <c r="A341" s="17" t="s">
        <v>206</v>
      </c>
      <c r="B341" s="16" t="s">
        <v>207</v>
      </c>
      <c r="C341" s="16"/>
      <c r="D341" s="55">
        <f>D344+D342</f>
        <v>51486766</v>
      </c>
      <c r="E341" s="55">
        <f>E344+E342</f>
        <v>0</v>
      </c>
      <c r="F341" s="53">
        <f t="shared" si="2"/>
        <v>51486766</v>
      </c>
    </row>
    <row r="342" spans="1:6" s="10" customFormat="1" ht="31.5">
      <c r="A342" s="21" t="s">
        <v>7</v>
      </c>
      <c r="B342" s="16" t="s">
        <v>207</v>
      </c>
      <c r="C342" s="16">
        <v>200</v>
      </c>
      <c r="D342" s="55">
        <f>D343</f>
        <v>446885</v>
      </c>
      <c r="E342" s="55">
        <f>E343</f>
        <v>0</v>
      </c>
      <c r="F342" s="53">
        <f t="shared" si="2"/>
        <v>446885</v>
      </c>
    </row>
    <row r="343" spans="1:6" s="10" customFormat="1" ht="31.5">
      <c r="A343" s="17" t="s">
        <v>8</v>
      </c>
      <c r="B343" s="16" t="s">
        <v>207</v>
      </c>
      <c r="C343" s="16">
        <v>240</v>
      </c>
      <c r="D343" s="55">
        <v>446885</v>
      </c>
      <c r="E343" s="55">
        <v>0</v>
      </c>
      <c r="F343" s="53">
        <f t="shared" si="2"/>
        <v>446885</v>
      </c>
    </row>
    <row r="344" spans="1:6" s="10" customFormat="1" ht="16.5">
      <c r="A344" s="17" t="s">
        <v>9</v>
      </c>
      <c r="B344" s="16" t="s">
        <v>207</v>
      </c>
      <c r="C344" s="16">
        <v>300</v>
      </c>
      <c r="D344" s="55">
        <f>D345</f>
        <v>51039881</v>
      </c>
      <c r="E344" s="55">
        <f>E345</f>
        <v>0</v>
      </c>
      <c r="F344" s="53">
        <f t="shared" si="2"/>
        <v>51039881</v>
      </c>
    </row>
    <row r="345" spans="1:6" s="10" customFormat="1" ht="16.5">
      <c r="A345" s="17" t="s">
        <v>171</v>
      </c>
      <c r="B345" s="16" t="s">
        <v>207</v>
      </c>
      <c r="C345" s="16">
        <v>310</v>
      </c>
      <c r="D345" s="55">
        <v>51039881</v>
      </c>
      <c r="E345" s="55">
        <v>0</v>
      </c>
      <c r="F345" s="53">
        <f t="shared" si="2"/>
        <v>51039881</v>
      </c>
    </row>
    <row r="346" spans="1:6" s="10" customFormat="1" ht="94.5">
      <c r="A346" s="17" t="s">
        <v>208</v>
      </c>
      <c r="B346" s="16" t="s">
        <v>209</v>
      </c>
      <c r="C346" s="16"/>
      <c r="D346" s="54">
        <f>D347</f>
        <v>91146602</v>
      </c>
      <c r="E346" s="54">
        <f>E347</f>
        <v>0</v>
      </c>
      <c r="F346" s="53">
        <f t="shared" si="2"/>
        <v>91146602</v>
      </c>
    </row>
    <row r="347" spans="1:6" s="10" customFormat="1" ht="16.5">
      <c r="A347" s="17" t="s">
        <v>9</v>
      </c>
      <c r="B347" s="16" t="s">
        <v>209</v>
      </c>
      <c r="C347" s="16">
        <v>300</v>
      </c>
      <c r="D347" s="54">
        <f>D348</f>
        <v>91146602</v>
      </c>
      <c r="E347" s="54">
        <f>E348</f>
        <v>0</v>
      </c>
      <c r="F347" s="53">
        <f t="shared" si="2"/>
        <v>91146602</v>
      </c>
    </row>
    <row r="348" spans="1:6" s="10" customFormat="1" ht="16.5">
      <c r="A348" s="17" t="s">
        <v>171</v>
      </c>
      <c r="B348" s="16" t="s">
        <v>209</v>
      </c>
      <c r="C348" s="16">
        <v>310</v>
      </c>
      <c r="D348" s="54">
        <f>90019347+1127255</f>
        <v>91146602</v>
      </c>
      <c r="E348" s="54">
        <v>0</v>
      </c>
      <c r="F348" s="53">
        <f t="shared" si="2"/>
        <v>91146602</v>
      </c>
    </row>
    <row r="349" spans="1:6" s="10" customFormat="1" ht="94.5">
      <c r="A349" s="17" t="s">
        <v>210</v>
      </c>
      <c r="B349" s="16" t="s">
        <v>211</v>
      </c>
      <c r="C349" s="16"/>
      <c r="D349" s="54">
        <f>D350</f>
        <v>6883243</v>
      </c>
      <c r="E349" s="54">
        <f>E350</f>
        <v>0</v>
      </c>
      <c r="F349" s="53">
        <f t="shared" si="2"/>
        <v>6883243</v>
      </c>
    </row>
    <row r="350" spans="1:6" s="10" customFormat="1" ht="16.5">
      <c r="A350" s="17" t="s">
        <v>9</v>
      </c>
      <c r="B350" s="16" t="s">
        <v>211</v>
      </c>
      <c r="C350" s="16">
        <v>300</v>
      </c>
      <c r="D350" s="54">
        <f>D351</f>
        <v>6883243</v>
      </c>
      <c r="E350" s="54">
        <f>E351</f>
        <v>0</v>
      </c>
      <c r="F350" s="53">
        <f t="shared" si="2"/>
        <v>6883243</v>
      </c>
    </row>
    <row r="351" spans="1:6" s="10" customFormat="1" ht="16.5">
      <c r="A351" s="17" t="s">
        <v>171</v>
      </c>
      <c r="B351" s="16" t="s">
        <v>211</v>
      </c>
      <c r="C351" s="16">
        <v>310</v>
      </c>
      <c r="D351" s="54">
        <v>6883243</v>
      </c>
      <c r="E351" s="54">
        <v>0</v>
      </c>
      <c r="F351" s="53">
        <f t="shared" si="2"/>
        <v>6883243</v>
      </c>
    </row>
    <row r="352" spans="1:6" s="10" customFormat="1" ht="16.5">
      <c r="A352" s="29" t="s">
        <v>212</v>
      </c>
      <c r="B352" s="14" t="s">
        <v>213</v>
      </c>
      <c r="C352" s="14"/>
      <c r="D352" s="53">
        <f>SUM(D353,D364,D358,D361)</f>
        <v>4105000</v>
      </c>
      <c r="E352" s="53">
        <f>SUM(E353,E364,E358,E361)</f>
        <v>500000</v>
      </c>
      <c r="F352" s="53">
        <f t="shared" si="2"/>
        <v>4605000</v>
      </c>
    </row>
    <row r="353" spans="1:6" s="10" customFormat="1" ht="78.75">
      <c r="A353" s="18" t="s">
        <v>214</v>
      </c>
      <c r="B353" s="14" t="s">
        <v>215</v>
      </c>
      <c r="C353" s="14"/>
      <c r="D353" s="53">
        <f>D356+D354</f>
        <v>450000</v>
      </c>
      <c r="E353" s="53">
        <f>E356+E354</f>
        <v>500000</v>
      </c>
      <c r="F353" s="53">
        <f t="shared" si="2"/>
        <v>950000</v>
      </c>
    </row>
    <row r="354" spans="1:6" s="10" customFormat="1" ht="31.5">
      <c r="A354" s="18" t="s">
        <v>216</v>
      </c>
      <c r="B354" s="14" t="s">
        <v>215</v>
      </c>
      <c r="C354" s="14">
        <v>400</v>
      </c>
      <c r="D354" s="53">
        <f>D355</f>
        <v>0</v>
      </c>
      <c r="E354" s="53">
        <f>E355</f>
        <v>500000</v>
      </c>
      <c r="F354" s="53">
        <f t="shared" si="2"/>
        <v>500000</v>
      </c>
    </row>
    <row r="355" spans="1:6" s="10" customFormat="1" ht="16.5">
      <c r="A355" s="18" t="s">
        <v>217</v>
      </c>
      <c r="B355" s="14" t="s">
        <v>215</v>
      </c>
      <c r="C355" s="14">
        <v>410</v>
      </c>
      <c r="D355" s="53">
        <v>0</v>
      </c>
      <c r="E355" s="53">
        <v>500000</v>
      </c>
      <c r="F355" s="53">
        <f t="shared" si="2"/>
        <v>500000</v>
      </c>
    </row>
    <row r="356" spans="1:6" s="10" customFormat="1" ht="31.5">
      <c r="A356" s="18" t="s">
        <v>541</v>
      </c>
      <c r="B356" s="14" t="s">
        <v>215</v>
      </c>
      <c r="C356" s="14">
        <v>600</v>
      </c>
      <c r="D356" s="53">
        <f>D357</f>
        <v>450000</v>
      </c>
      <c r="E356" s="53">
        <f>E357</f>
        <v>0</v>
      </c>
      <c r="F356" s="53">
        <f t="shared" si="2"/>
        <v>450000</v>
      </c>
    </row>
    <row r="357" spans="1:6" s="10" customFormat="1" ht="16.5">
      <c r="A357" s="18" t="s">
        <v>47</v>
      </c>
      <c r="B357" s="14" t="s">
        <v>215</v>
      </c>
      <c r="C357" s="14">
        <v>610</v>
      </c>
      <c r="D357" s="53">
        <v>450000</v>
      </c>
      <c r="E357" s="53">
        <v>0</v>
      </c>
      <c r="F357" s="53">
        <f t="shared" si="2"/>
        <v>450000</v>
      </c>
    </row>
    <row r="358" spans="1:6" s="10" customFormat="1" ht="31.5">
      <c r="A358" s="13" t="s">
        <v>218</v>
      </c>
      <c r="B358" s="14" t="s">
        <v>219</v>
      </c>
      <c r="C358" s="14"/>
      <c r="D358" s="26">
        <f>D359</f>
        <v>2000000</v>
      </c>
      <c r="E358" s="26">
        <f>E359</f>
        <v>0</v>
      </c>
      <c r="F358" s="53">
        <f aca="true" t="shared" si="3" ref="F358:F421">SUM(D358:E358)</f>
        <v>2000000</v>
      </c>
    </row>
    <row r="359" spans="1:6" s="10" customFormat="1" ht="31.5">
      <c r="A359" s="20" t="s">
        <v>7</v>
      </c>
      <c r="B359" s="14" t="s">
        <v>219</v>
      </c>
      <c r="C359" s="14">
        <v>200</v>
      </c>
      <c r="D359" s="26">
        <f>D360</f>
        <v>2000000</v>
      </c>
      <c r="E359" s="26">
        <f>E360</f>
        <v>0</v>
      </c>
      <c r="F359" s="53">
        <f t="shared" si="3"/>
        <v>2000000</v>
      </c>
    </row>
    <row r="360" spans="1:6" s="10" customFormat="1" ht="31.5">
      <c r="A360" s="20" t="s">
        <v>8</v>
      </c>
      <c r="B360" s="14" t="s">
        <v>219</v>
      </c>
      <c r="C360" s="14">
        <v>240</v>
      </c>
      <c r="D360" s="26">
        <v>2000000</v>
      </c>
      <c r="E360" s="26">
        <v>0</v>
      </c>
      <c r="F360" s="53">
        <f t="shared" si="3"/>
        <v>2000000</v>
      </c>
    </row>
    <row r="361" spans="1:6" s="10" customFormat="1" ht="31.5">
      <c r="A361" s="18" t="s">
        <v>220</v>
      </c>
      <c r="B361" s="14" t="s">
        <v>221</v>
      </c>
      <c r="C361" s="14"/>
      <c r="D361" s="26">
        <f>D362</f>
        <v>1500000</v>
      </c>
      <c r="E361" s="26">
        <f>E362</f>
        <v>0</v>
      </c>
      <c r="F361" s="53">
        <f t="shared" si="3"/>
        <v>1500000</v>
      </c>
    </row>
    <row r="362" spans="1:6" s="10" customFormat="1" ht="31.5">
      <c r="A362" s="20" t="s">
        <v>7</v>
      </c>
      <c r="B362" s="14" t="s">
        <v>221</v>
      </c>
      <c r="C362" s="14">
        <v>200</v>
      </c>
      <c r="D362" s="26">
        <f>D363</f>
        <v>1500000</v>
      </c>
      <c r="E362" s="26">
        <f>E363</f>
        <v>0</v>
      </c>
      <c r="F362" s="53">
        <f t="shared" si="3"/>
        <v>1500000</v>
      </c>
    </row>
    <row r="363" spans="1:6" s="10" customFormat="1" ht="31.5">
      <c r="A363" s="20" t="s">
        <v>8</v>
      </c>
      <c r="B363" s="14" t="s">
        <v>221</v>
      </c>
      <c r="C363" s="14">
        <v>240</v>
      </c>
      <c r="D363" s="26">
        <v>1500000</v>
      </c>
      <c r="E363" s="26">
        <v>0</v>
      </c>
      <c r="F363" s="53">
        <f t="shared" si="3"/>
        <v>1500000</v>
      </c>
    </row>
    <row r="364" spans="1:6" s="10" customFormat="1" ht="31.5">
      <c r="A364" s="18" t="s">
        <v>222</v>
      </c>
      <c r="B364" s="14" t="s">
        <v>223</v>
      </c>
      <c r="C364" s="14"/>
      <c r="D364" s="53">
        <f>D365</f>
        <v>155000</v>
      </c>
      <c r="E364" s="53">
        <f>E365</f>
        <v>0</v>
      </c>
      <c r="F364" s="53">
        <f t="shared" si="3"/>
        <v>155000</v>
      </c>
    </row>
    <row r="365" spans="1:6" s="10" customFormat="1" ht="31.5">
      <c r="A365" s="18" t="s">
        <v>541</v>
      </c>
      <c r="B365" s="14" t="s">
        <v>223</v>
      </c>
      <c r="C365" s="14">
        <v>600</v>
      </c>
      <c r="D365" s="53">
        <f>D366</f>
        <v>155000</v>
      </c>
      <c r="E365" s="53">
        <f>E366</f>
        <v>0</v>
      </c>
      <c r="F365" s="53">
        <f t="shared" si="3"/>
        <v>155000</v>
      </c>
    </row>
    <row r="366" spans="1:6" s="10" customFormat="1" ht="16.5">
      <c r="A366" s="18" t="s">
        <v>542</v>
      </c>
      <c r="B366" s="14" t="s">
        <v>223</v>
      </c>
      <c r="C366" s="14">
        <v>610</v>
      </c>
      <c r="D366" s="53">
        <v>155000</v>
      </c>
      <c r="E366" s="53">
        <v>0</v>
      </c>
      <c r="F366" s="53">
        <f t="shared" si="3"/>
        <v>155000</v>
      </c>
    </row>
    <row r="367" spans="1:6" s="10" customFormat="1" ht="16.5">
      <c r="A367" s="18" t="s">
        <v>224</v>
      </c>
      <c r="B367" s="14" t="s">
        <v>225</v>
      </c>
      <c r="C367" s="14"/>
      <c r="D367" s="26">
        <f>D368</f>
        <v>11863441.34</v>
      </c>
      <c r="E367" s="26">
        <f>E368</f>
        <v>0</v>
      </c>
      <c r="F367" s="53">
        <f t="shared" si="3"/>
        <v>11863441.34</v>
      </c>
    </row>
    <row r="368" spans="1:6" s="10" customFormat="1" ht="31.5">
      <c r="A368" s="18" t="s">
        <v>226</v>
      </c>
      <c r="B368" s="14" t="s">
        <v>227</v>
      </c>
      <c r="C368" s="14"/>
      <c r="D368" s="26">
        <f>D371+D369</f>
        <v>11863441.34</v>
      </c>
      <c r="E368" s="26">
        <f>E371+E369</f>
        <v>0</v>
      </c>
      <c r="F368" s="53">
        <f t="shared" si="3"/>
        <v>11863441.34</v>
      </c>
    </row>
    <row r="369" spans="1:6" s="10" customFormat="1" ht="31.5">
      <c r="A369" s="20" t="s">
        <v>7</v>
      </c>
      <c r="B369" s="14" t="s">
        <v>227</v>
      </c>
      <c r="C369" s="14">
        <v>200</v>
      </c>
      <c r="D369" s="26">
        <f>D370</f>
        <v>117641.34</v>
      </c>
      <c r="E369" s="26">
        <f>E370</f>
        <v>0</v>
      </c>
      <c r="F369" s="53">
        <f t="shared" si="3"/>
        <v>117641.34</v>
      </c>
    </row>
    <row r="370" spans="1:6" s="10" customFormat="1" ht="31.5">
      <c r="A370" s="20" t="s">
        <v>8</v>
      </c>
      <c r="B370" s="14" t="s">
        <v>227</v>
      </c>
      <c r="C370" s="14">
        <v>240</v>
      </c>
      <c r="D370" s="26">
        <v>117641.34</v>
      </c>
      <c r="E370" s="26">
        <v>0</v>
      </c>
      <c r="F370" s="53">
        <f t="shared" si="3"/>
        <v>117641.34</v>
      </c>
    </row>
    <row r="371" spans="1:6" s="10" customFormat="1" ht="16.5">
      <c r="A371" s="18" t="s">
        <v>9</v>
      </c>
      <c r="B371" s="14" t="s">
        <v>227</v>
      </c>
      <c r="C371" s="14">
        <v>300</v>
      </c>
      <c r="D371" s="26">
        <f>D372</f>
        <v>11745800</v>
      </c>
      <c r="E371" s="26">
        <f>E372</f>
        <v>0</v>
      </c>
      <c r="F371" s="53">
        <f t="shared" si="3"/>
        <v>11745800</v>
      </c>
    </row>
    <row r="372" spans="1:6" s="10" customFormat="1" ht="31.5">
      <c r="A372" s="18" t="s">
        <v>10</v>
      </c>
      <c r="B372" s="14" t="s">
        <v>227</v>
      </c>
      <c r="C372" s="14">
        <v>320</v>
      </c>
      <c r="D372" s="26">
        <v>11745800</v>
      </c>
      <c r="E372" s="26">
        <v>0</v>
      </c>
      <c r="F372" s="53">
        <f t="shared" si="3"/>
        <v>11745800</v>
      </c>
    </row>
    <row r="373" spans="1:6" s="10" customFormat="1" ht="16.5">
      <c r="A373" s="18" t="s">
        <v>228</v>
      </c>
      <c r="B373" s="14" t="s">
        <v>229</v>
      </c>
      <c r="C373" s="14"/>
      <c r="D373" s="26">
        <f aca="true" t="shared" si="4" ref="D373:E375">D374</f>
        <v>8213373</v>
      </c>
      <c r="E373" s="26">
        <f t="shared" si="4"/>
        <v>0</v>
      </c>
      <c r="F373" s="53">
        <f t="shared" si="3"/>
        <v>8213373</v>
      </c>
    </row>
    <row r="374" spans="1:6" s="10" customFormat="1" ht="31.5">
      <c r="A374" s="17" t="s">
        <v>230</v>
      </c>
      <c r="B374" s="16" t="s">
        <v>231</v>
      </c>
      <c r="C374" s="16"/>
      <c r="D374" s="55">
        <f t="shared" si="4"/>
        <v>8213373</v>
      </c>
      <c r="E374" s="55">
        <f t="shared" si="4"/>
        <v>0</v>
      </c>
      <c r="F374" s="53">
        <f t="shared" si="3"/>
        <v>8213373</v>
      </c>
    </row>
    <row r="375" spans="1:6" s="10" customFormat="1" ht="16.5">
      <c r="A375" s="17" t="s">
        <v>9</v>
      </c>
      <c r="B375" s="16" t="s">
        <v>231</v>
      </c>
      <c r="C375" s="16">
        <v>300</v>
      </c>
      <c r="D375" s="55">
        <f t="shared" si="4"/>
        <v>8213373</v>
      </c>
      <c r="E375" s="55">
        <f t="shared" si="4"/>
        <v>0</v>
      </c>
      <c r="F375" s="53">
        <f t="shared" si="3"/>
        <v>8213373</v>
      </c>
    </row>
    <row r="376" spans="1:6" s="10" customFormat="1" ht="31.5">
      <c r="A376" s="17" t="s">
        <v>10</v>
      </c>
      <c r="B376" s="16" t="s">
        <v>231</v>
      </c>
      <c r="C376" s="16">
        <v>320</v>
      </c>
      <c r="D376" s="55">
        <v>8213373</v>
      </c>
      <c r="E376" s="55">
        <v>0</v>
      </c>
      <c r="F376" s="53">
        <f t="shared" si="3"/>
        <v>8213373</v>
      </c>
    </row>
    <row r="377" spans="1:6" s="10" customFormat="1" ht="47.25">
      <c r="A377" s="18" t="s">
        <v>232</v>
      </c>
      <c r="B377" s="14" t="s">
        <v>233</v>
      </c>
      <c r="C377" s="14"/>
      <c r="D377" s="26">
        <f>SUM(D378,D385)</f>
        <v>38070967</v>
      </c>
      <c r="E377" s="26">
        <f>SUM(E378,E385)</f>
        <v>0</v>
      </c>
      <c r="F377" s="53">
        <f t="shared" si="3"/>
        <v>38070967</v>
      </c>
    </row>
    <row r="378" spans="1:6" s="10" customFormat="1" ht="31.5">
      <c r="A378" s="17" t="s">
        <v>234</v>
      </c>
      <c r="B378" s="16" t="s">
        <v>235</v>
      </c>
      <c r="C378" s="16"/>
      <c r="D378" s="55">
        <f>D379+D381+D383</f>
        <v>21270967</v>
      </c>
      <c r="E378" s="55">
        <f>E379+E381+E383</f>
        <v>0</v>
      </c>
      <c r="F378" s="53">
        <f t="shared" si="3"/>
        <v>21270967</v>
      </c>
    </row>
    <row r="379" spans="1:6" s="10" customFormat="1" ht="78.75">
      <c r="A379" s="30" t="s">
        <v>66</v>
      </c>
      <c r="B379" s="16" t="s">
        <v>235</v>
      </c>
      <c r="C379" s="24" t="s">
        <v>67</v>
      </c>
      <c r="D379" s="55">
        <f>D380</f>
        <v>19573695</v>
      </c>
      <c r="E379" s="55">
        <f>E380</f>
        <v>0</v>
      </c>
      <c r="F379" s="53">
        <f t="shared" si="3"/>
        <v>19573695</v>
      </c>
    </row>
    <row r="380" spans="1:6" s="10" customFormat="1" ht="31.5">
      <c r="A380" s="30" t="s">
        <v>68</v>
      </c>
      <c r="B380" s="16" t="s">
        <v>235</v>
      </c>
      <c r="C380" s="24" t="s">
        <v>69</v>
      </c>
      <c r="D380" s="55">
        <v>19573695</v>
      </c>
      <c r="E380" s="55">
        <v>0</v>
      </c>
      <c r="F380" s="53">
        <f t="shared" si="3"/>
        <v>19573695</v>
      </c>
    </row>
    <row r="381" spans="1:6" s="10" customFormat="1" ht="31.5">
      <c r="A381" s="21" t="s">
        <v>7</v>
      </c>
      <c r="B381" s="16" t="s">
        <v>235</v>
      </c>
      <c r="C381" s="24" t="s">
        <v>70</v>
      </c>
      <c r="D381" s="55">
        <f>D382</f>
        <v>1696272</v>
      </c>
      <c r="E381" s="55">
        <f>E382</f>
        <v>0</v>
      </c>
      <c r="F381" s="53">
        <f t="shared" si="3"/>
        <v>1696272</v>
      </c>
    </row>
    <row r="382" spans="1:6" s="10" customFormat="1" ht="31.5">
      <c r="A382" s="21" t="s">
        <v>8</v>
      </c>
      <c r="B382" s="16" t="s">
        <v>235</v>
      </c>
      <c r="C382" s="24" t="s">
        <v>71</v>
      </c>
      <c r="D382" s="55">
        <v>1696272</v>
      </c>
      <c r="E382" s="55">
        <v>0</v>
      </c>
      <c r="F382" s="53">
        <f t="shared" si="3"/>
        <v>1696272</v>
      </c>
    </row>
    <row r="383" spans="1:6" s="10" customFormat="1" ht="16.5">
      <c r="A383" s="21" t="s">
        <v>544</v>
      </c>
      <c r="B383" s="16" t="s">
        <v>235</v>
      </c>
      <c r="C383" s="24" t="s">
        <v>72</v>
      </c>
      <c r="D383" s="55">
        <f>D384</f>
        <v>1000</v>
      </c>
      <c r="E383" s="55">
        <f>E384</f>
        <v>0</v>
      </c>
      <c r="F383" s="53">
        <f t="shared" si="3"/>
        <v>1000</v>
      </c>
    </row>
    <row r="384" spans="1:6" s="10" customFormat="1" ht="16.5">
      <c r="A384" s="21" t="s">
        <v>73</v>
      </c>
      <c r="B384" s="16" t="s">
        <v>235</v>
      </c>
      <c r="C384" s="24" t="s">
        <v>74</v>
      </c>
      <c r="D384" s="55">
        <v>1000</v>
      </c>
      <c r="E384" s="55">
        <v>0</v>
      </c>
      <c r="F384" s="53">
        <f t="shared" si="3"/>
        <v>1000</v>
      </c>
    </row>
    <row r="385" spans="1:6" s="10" customFormat="1" ht="47.25">
      <c r="A385" s="18" t="s">
        <v>236</v>
      </c>
      <c r="B385" s="14" t="s">
        <v>237</v>
      </c>
      <c r="C385" s="14"/>
      <c r="D385" s="26">
        <f>D386+D388+D390</f>
        <v>16800000</v>
      </c>
      <c r="E385" s="26">
        <f>E386+E388+E390</f>
        <v>0</v>
      </c>
      <c r="F385" s="53">
        <f t="shared" si="3"/>
        <v>16800000</v>
      </c>
    </row>
    <row r="386" spans="1:6" s="10" customFormat="1" ht="78.75">
      <c r="A386" s="22" t="s">
        <v>66</v>
      </c>
      <c r="B386" s="14" t="s">
        <v>237</v>
      </c>
      <c r="C386" s="23" t="s">
        <v>67</v>
      </c>
      <c r="D386" s="26">
        <f>D387</f>
        <v>15499000</v>
      </c>
      <c r="E386" s="26">
        <f>E387</f>
        <v>0</v>
      </c>
      <c r="F386" s="53">
        <f t="shared" si="3"/>
        <v>15499000</v>
      </c>
    </row>
    <row r="387" spans="1:6" s="10" customFormat="1" ht="31.5">
      <c r="A387" s="22" t="s">
        <v>68</v>
      </c>
      <c r="B387" s="14" t="s">
        <v>237</v>
      </c>
      <c r="C387" s="23" t="s">
        <v>69</v>
      </c>
      <c r="D387" s="26">
        <v>15499000</v>
      </c>
      <c r="E387" s="26">
        <v>0</v>
      </c>
      <c r="F387" s="53">
        <f t="shared" si="3"/>
        <v>15499000</v>
      </c>
    </row>
    <row r="388" spans="1:6" s="10" customFormat="1" ht="31.5">
      <c r="A388" s="20" t="s">
        <v>7</v>
      </c>
      <c r="B388" s="14" t="s">
        <v>237</v>
      </c>
      <c r="C388" s="23" t="s">
        <v>70</v>
      </c>
      <c r="D388" s="26">
        <f>D389</f>
        <v>1300000</v>
      </c>
      <c r="E388" s="26">
        <f>E389</f>
        <v>0</v>
      </c>
      <c r="F388" s="53">
        <f t="shared" si="3"/>
        <v>1300000</v>
      </c>
    </row>
    <row r="389" spans="1:6" s="10" customFormat="1" ht="31.5">
      <c r="A389" s="20" t="s">
        <v>8</v>
      </c>
      <c r="B389" s="14" t="s">
        <v>237</v>
      </c>
      <c r="C389" s="23" t="s">
        <v>71</v>
      </c>
      <c r="D389" s="26">
        <v>1300000</v>
      </c>
      <c r="E389" s="26">
        <v>0</v>
      </c>
      <c r="F389" s="53">
        <f t="shared" si="3"/>
        <v>1300000</v>
      </c>
    </row>
    <row r="390" spans="1:6" s="10" customFormat="1" ht="16.5">
      <c r="A390" s="20" t="s">
        <v>544</v>
      </c>
      <c r="B390" s="14" t="s">
        <v>237</v>
      </c>
      <c r="C390" s="23" t="s">
        <v>72</v>
      </c>
      <c r="D390" s="26">
        <f>D391</f>
        <v>1000</v>
      </c>
      <c r="E390" s="26">
        <f>E391</f>
        <v>0</v>
      </c>
      <c r="F390" s="53">
        <f t="shared" si="3"/>
        <v>1000</v>
      </c>
    </row>
    <row r="391" spans="1:6" s="10" customFormat="1" ht="16.5">
      <c r="A391" s="20" t="s">
        <v>73</v>
      </c>
      <c r="B391" s="14" t="s">
        <v>237</v>
      </c>
      <c r="C391" s="23" t="s">
        <v>74</v>
      </c>
      <c r="D391" s="26">
        <v>1000</v>
      </c>
      <c r="E391" s="26">
        <v>0</v>
      </c>
      <c r="F391" s="53">
        <f t="shared" si="3"/>
        <v>1000</v>
      </c>
    </row>
    <row r="392" spans="1:6" s="10" customFormat="1" ht="31.5">
      <c r="A392" s="11" t="s">
        <v>238</v>
      </c>
      <c r="B392" s="12" t="s">
        <v>239</v>
      </c>
      <c r="C392" s="12"/>
      <c r="D392" s="52">
        <f>SUM(D393,D398,D401,D407,D410,D413,D416,D428,D422,D419,D404,D425)</f>
        <v>808150186.0000001</v>
      </c>
      <c r="E392" s="52">
        <f>SUM(E393,E398,E401,E407,E410,E413,E416,E428,E422,E419,E404,E425)</f>
        <v>210144346.98000002</v>
      </c>
      <c r="F392" s="52">
        <f t="shared" si="3"/>
        <v>1018294532.9800001</v>
      </c>
    </row>
    <row r="393" spans="1:6" s="10" customFormat="1" ht="31.5">
      <c r="A393" s="18" t="s">
        <v>240</v>
      </c>
      <c r="B393" s="14" t="s">
        <v>241</v>
      </c>
      <c r="C393" s="14"/>
      <c r="D393" s="53">
        <f>D396+D394</f>
        <v>108363807.74000001</v>
      </c>
      <c r="E393" s="53">
        <f>E396+E394</f>
        <v>-11136292.18</v>
      </c>
      <c r="F393" s="53">
        <f t="shared" si="3"/>
        <v>97227515.56</v>
      </c>
    </row>
    <row r="394" spans="1:6" s="10" customFormat="1" ht="31.5">
      <c r="A394" s="20" t="s">
        <v>7</v>
      </c>
      <c r="B394" s="14" t="s">
        <v>241</v>
      </c>
      <c r="C394" s="14">
        <v>200</v>
      </c>
      <c r="D394" s="53">
        <f>D395</f>
        <v>79697527.54</v>
      </c>
      <c r="E394" s="53">
        <f>E395</f>
        <v>-24397406.66</v>
      </c>
      <c r="F394" s="53">
        <f t="shared" si="3"/>
        <v>55300120.88000001</v>
      </c>
    </row>
    <row r="395" spans="1:6" s="10" customFormat="1" ht="31.5">
      <c r="A395" s="20" t="s">
        <v>8</v>
      </c>
      <c r="B395" s="14" t="s">
        <v>241</v>
      </c>
      <c r="C395" s="14">
        <v>240</v>
      </c>
      <c r="D395" s="53">
        <v>79697527.54</v>
      </c>
      <c r="E395" s="53">
        <f>-1000000-1800000-549000-560000-2000000-2000000-200000-49000-3030355-55000-4997060.88-150000-500000-2100000-470808-92328.57-118000-998418-3727436.21</f>
        <v>-24397406.66</v>
      </c>
      <c r="F395" s="53">
        <f t="shared" si="3"/>
        <v>55300120.88000001</v>
      </c>
    </row>
    <row r="396" spans="1:6" s="10" customFormat="1" ht="16.5">
      <c r="A396" s="18" t="s">
        <v>544</v>
      </c>
      <c r="B396" s="14" t="s">
        <v>241</v>
      </c>
      <c r="C396" s="14">
        <v>800</v>
      </c>
      <c r="D396" s="53">
        <f>D397</f>
        <v>28666280.2</v>
      </c>
      <c r="E396" s="53">
        <f>E397</f>
        <v>13261114.48</v>
      </c>
      <c r="F396" s="53">
        <f t="shared" si="3"/>
        <v>41927394.68</v>
      </c>
    </row>
    <row r="397" spans="1:6" s="10" customFormat="1" ht="47.25">
      <c r="A397" s="18" t="s">
        <v>545</v>
      </c>
      <c r="B397" s="14" t="s">
        <v>241</v>
      </c>
      <c r="C397" s="14">
        <v>810</v>
      </c>
      <c r="D397" s="53">
        <v>28666280.2</v>
      </c>
      <c r="E397" s="26">
        <v>13261114.48</v>
      </c>
      <c r="F397" s="53">
        <f t="shared" si="3"/>
        <v>41927394.68</v>
      </c>
    </row>
    <row r="398" spans="1:6" s="10" customFormat="1" ht="47.25">
      <c r="A398" s="17" t="s">
        <v>242</v>
      </c>
      <c r="B398" s="16" t="s">
        <v>243</v>
      </c>
      <c r="C398" s="16"/>
      <c r="D398" s="54">
        <f>SUM(D399)</f>
        <v>73723012.11</v>
      </c>
      <c r="E398" s="55">
        <f>SUM(E399)</f>
        <v>0</v>
      </c>
      <c r="F398" s="56">
        <f t="shared" si="3"/>
        <v>73723012.11</v>
      </c>
    </row>
    <row r="399" spans="1:6" s="10" customFormat="1" ht="31.5">
      <c r="A399" s="20" t="s">
        <v>7</v>
      </c>
      <c r="B399" s="16" t="s">
        <v>243</v>
      </c>
      <c r="C399" s="14">
        <v>200</v>
      </c>
      <c r="D399" s="54">
        <f>D400</f>
        <v>73723012.11</v>
      </c>
      <c r="E399" s="55">
        <f>E400</f>
        <v>0</v>
      </c>
      <c r="F399" s="56">
        <f t="shared" si="3"/>
        <v>73723012.11</v>
      </c>
    </row>
    <row r="400" spans="1:6" s="10" customFormat="1" ht="31.5">
      <c r="A400" s="20" t="s">
        <v>8</v>
      </c>
      <c r="B400" s="16" t="s">
        <v>243</v>
      </c>
      <c r="C400" s="14">
        <v>240</v>
      </c>
      <c r="D400" s="54">
        <v>73723012.11</v>
      </c>
      <c r="E400" s="55">
        <v>0</v>
      </c>
      <c r="F400" s="56">
        <f t="shared" si="3"/>
        <v>73723012.11</v>
      </c>
    </row>
    <row r="401" spans="1:6" s="10" customFormat="1" ht="31.5">
      <c r="A401" s="18" t="s">
        <v>244</v>
      </c>
      <c r="B401" s="14" t="s">
        <v>245</v>
      </c>
      <c r="C401" s="14"/>
      <c r="D401" s="53">
        <f>D402</f>
        <v>10000000</v>
      </c>
      <c r="E401" s="26"/>
      <c r="F401" s="53">
        <f t="shared" si="3"/>
        <v>10000000</v>
      </c>
    </row>
    <row r="402" spans="1:6" s="10" customFormat="1" ht="16.5">
      <c r="A402" s="20" t="s">
        <v>544</v>
      </c>
      <c r="B402" s="14" t="s">
        <v>245</v>
      </c>
      <c r="C402" s="14">
        <v>800</v>
      </c>
      <c r="D402" s="53">
        <f>D403</f>
        <v>10000000</v>
      </c>
      <c r="E402" s="26">
        <f>E403</f>
        <v>0</v>
      </c>
      <c r="F402" s="53">
        <f t="shared" si="3"/>
        <v>10000000</v>
      </c>
    </row>
    <row r="403" spans="1:6" s="10" customFormat="1" ht="47.25">
      <c r="A403" s="18" t="s">
        <v>545</v>
      </c>
      <c r="B403" s="14" t="s">
        <v>245</v>
      </c>
      <c r="C403" s="14">
        <v>810</v>
      </c>
      <c r="D403" s="53">
        <v>10000000</v>
      </c>
      <c r="E403" s="26">
        <f>E404</f>
        <v>0</v>
      </c>
      <c r="F403" s="53">
        <f t="shared" si="3"/>
        <v>10000000</v>
      </c>
    </row>
    <row r="404" spans="1:6" s="10" customFormat="1" ht="94.5">
      <c r="A404" s="18" t="s">
        <v>246</v>
      </c>
      <c r="B404" s="14" t="s">
        <v>247</v>
      </c>
      <c r="C404" s="14"/>
      <c r="D404" s="53">
        <f>D405</f>
        <v>732600</v>
      </c>
      <c r="E404" s="26">
        <v>0</v>
      </c>
      <c r="F404" s="56">
        <f t="shared" si="3"/>
        <v>732600</v>
      </c>
    </row>
    <row r="405" spans="1:6" s="10" customFormat="1" ht="16.5">
      <c r="A405" s="20" t="s">
        <v>544</v>
      </c>
      <c r="B405" s="14" t="s">
        <v>247</v>
      </c>
      <c r="C405" s="14">
        <v>800</v>
      </c>
      <c r="D405" s="53">
        <f>D406</f>
        <v>732600</v>
      </c>
      <c r="E405" s="26">
        <f>E406</f>
        <v>0</v>
      </c>
      <c r="F405" s="56">
        <f t="shared" si="3"/>
        <v>732600</v>
      </c>
    </row>
    <row r="406" spans="1:6" s="10" customFormat="1" ht="47.25">
      <c r="A406" s="18" t="s">
        <v>545</v>
      </c>
      <c r="B406" s="14" t="s">
        <v>247</v>
      </c>
      <c r="C406" s="14">
        <v>810</v>
      </c>
      <c r="D406" s="53">
        <v>732600</v>
      </c>
      <c r="E406" s="26">
        <f>E407</f>
        <v>0</v>
      </c>
      <c r="F406" s="56">
        <f t="shared" si="3"/>
        <v>732600</v>
      </c>
    </row>
    <row r="407" spans="1:6" s="10" customFormat="1" ht="47.25">
      <c r="A407" s="18" t="s">
        <v>248</v>
      </c>
      <c r="B407" s="14" t="s">
        <v>249</v>
      </c>
      <c r="C407" s="14"/>
      <c r="D407" s="53">
        <f>D408</f>
        <v>28238720</v>
      </c>
      <c r="E407" s="26">
        <f>E408</f>
        <v>0</v>
      </c>
      <c r="F407" s="53">
        <f t="shared" si="3"/>
        <v>28238720</v>
      </c>
    </row>
    <row r="408" spans="1:6" s="10" customFormat="1" ht="16.5">
      <c r="A408" s="20" t="s">
        <v>544</v>
      </c>
      <c r="B408" s="14" t="s">
        <v>249</v>
      </c>
      <c r="C408" s="14">
        <v>800</v>
      </c>
      <c r="D408" s="53">
        <f>D409</f>
        <v>28238720</v>
      </c>
      <c r="E408" s="26">
        <f>E409</f>
        <v>0</v>
      </c>
      <c r="F408" s="53">
        <f t="shared" si="3"/>
        <v>28238720</v>
      </c>
    </row>
    <row r="409" spans="1:6" s="10" customFormat="1" ht="47.25">
      <c r="A409" s="18" t="s">
        <v>545</v>
      </c>
      <c r="B409" s="14" t="s">
        <v>249</v>
      </c>
      <c r="C409" s="14">
        <v>810</v>
      </c>
      <c r="D409" s="53">
        <v>28238720</v>
      </c>
      <c r="E409" s="26">
        <v>0</v>
      </c>
      <c r="F409" s="53">
        <f t="shared" si="3"/>
        <v>28238720</v>
      </c>
    </row>
    <row r="410" spans="1:6" s="10" customFormat="1" ht="31.5">
      <c r="A410" s="18" t="s">
        <v>250</v>
      </c>
      <c r="B410" s="14" t="s">
        <v>251</v>
      </c>
      <c r="C410" s="14"/>
      <c r="D410" s="53">
        <f>SUM(D411)</f>
        <v>324269420</v>
      </c>
      <c r="E410" s="26">
        <f>SUM(E411)</f>
        <v>52710000</v>
      </c>
      <c r="F410" s="53">
        <f t="shared" si="3"/>
        <v>376979420</v>
      </c>
    </row>
    <row r="411" spans="1:6" s="10" customFormat="1" ht="16.5">
      <c r="A411" s="18" t="s">
        <v>544</v>
      </c>
      <c r="B411" s="14" t="s">
        <v>251</v>
      </c>
      <c r="C411" s="14">
        <v>800</v>
      </c>
      <c r="D411" s="53">
        <f>D412</f>
        <v>324269420</v>
      </c>
      <c r="E411" s="26">
        <f>E412</f>
        <v>52710000</v>
      </c>
      <c r="F411" s="53">
        <f t="shared" si="3"/>
        <v>376979420</v>
      </c>
    </row>
    <row r="412" spans="1:6" s="10" customFormat="1" ht="47.25">
      <c r="A412" s="18" t="s">
        <v>545</v>
      </c>
      <c r="B412" s="14" t="s">
        <v>251</v>
      </c>
      <c r="C412" s="14">
        <v>810</v>
      </c>
      <c r="D412" s="53">
        <v>324269420</v>
      </c>
      <c r="E412" s="26">
        <v>52710000</v>
      </c>
      <c r="F412" s="53">
        <f t="shared" si="3"/>
        <v>376979420</v>
      </c>
    </row>
    <row r="413" spans="1:6" s="10" customFormat="1" ht="31.5">
      <c r="A413" s="29" t="s">
        <v>252</v>
      </c>
      <c r="B413" s="14" t="s">
        <v>253</v>
      </c>
      <c r="C413" s="14"/>
      <c r="D413" s="53">
        <f>SUM(D414)</f>
        <v>20763314.2</v>
      </c>
      <c r="E413" s="53">
        <f>SUM(E414)</f>
        <v>92328.57</v>
      </c>
      <c r="F413" s="53">
        <f t="shared" si="3"/>
        <v>20855642.77</v>
      </c>
    </row>
    <row r="414" spans="1:6" s="10" customFormat="1" ht="16.5">
      <c r="A414" s="18" t="s">
        <v>544</v>
      </c>
      <c r="B414" s="14" t="s">
        <v>253</v>
      </c>
      <c r="C414" s="14">
        <v>800</v>
      </c>
      <c r="D414" s="53">
        <f>D415</f>
        <v>20763314.2</v>
      </c>
      <c r="E414" s="53">
        <f>E415</f>
        <v>92328.57</v>
      </c>
      <c r="F414" s="53">
        <f t="shared" si="3"/>
        <v>20855642.77</v>
      </c>
    </row>
    <row r="415" spans="1:6" s="10" customFormat="1" ht="47.25">
      <c r="A415" s="18" t="s">
        <v>545</v>
      </c>
      <c r="B415" s="14" t="s">
        <v>253</v>
      </c>
      <c r="C415" s="14">
        <v>810</v>
      </c>
      <c r="D415" s="53">
        <v>20763314.2</v>
      </c>
      <c r="E415" s="53">
        <v>92328.57</v>
      </c>
      <c r="F415" s="53">
        <f t="shared" si="3"/>
        <v>20855642.77</v>
      </c>
    </row>
    <row r="416" spans="1:6" s="10" customFormat="1" ht="31.5">
      <c r="A416" s="18" t="s">
        <v>254</v>
      </c>
      <c r="B416" s="23" t="s">
        <v>255</v>
      </c>
      <c r="C416" s="14"/>
      <c r="D416" s="53">
        <f>D417</f>
        <v>4708925</v>
      </c>
      <c r="E416" s="53">
        <f>E417</f>
        <v>-746532</v>
      </c>
      <c r="F416" s="53">
        <f t="shared" si="3"/>
        <v>3962393</v>
      </c>
    </row>
    <row r="417" spans="1:6" s="10" customFormat="1" ht="31.5">
      <c r="A417" s="18" t="s">
        <v>216</v>
      </c>
      <c r="B417" s="23" t="s">
        <v>255</v>
      </c>
      <c r="C417" s="14">
        <v>400</v>
      </c>
      <c r="D417" s="53">
        <f>D418</f>
        <v>4708925</v>
      </c>
      <c r="E417" s="53">
        <f>E418</f>
        <v>-746532</v>
      </c>
      <c r="F417" s="53">
        <f t="shared" si="3"/>
        <v>3962393</v>
      </c>
    </row>
    <row r="418" spans="1:6" s="10" customFormat="1" ht="16.5">
      <c r="A418" s="18" t="s">
        <v>217</v>
      </c>
      <c r="B418" s="23" t="s">
        <v>255</v>
      </c>
      <c r="C418" s="14">
        <v>410</v>
      </c>
      <c r="D418" s="53">
        <v>4708925</v>
      </c>
      <c r="E418" s="53">
        <f>-63132-238400-130000-174000-141000</f>
        <v>-746532</v>
      </c>
      <c r="F418" s="53">
        <f t="shared" si="3"/>
        <v>3962393</v>
      </c>
    </row>
    <row r="419" spans="1:6" s="10" customFormat="1" ht="47.25">
      <c r="A419" s="18" t="s">
        <v>256</v>
      </c>
      <c r="B419" s="23" t="s">
        <v>257</v>
      </c>
      <c r="C419" s="14"/>
      <c r="D419" s="53">
        <f>D420</f>
        <v>54045058</v>
      </c>
      <c r="E419" s="53">
        <f>E420</f>
        <v>0</v>
      </c>
      <c r="F419" s="53">
        <f t="shared" si="3"/>
        <v>54045058</v>
      </c>
    </row>
    <row r="420" spans="1:6" s="10" customFormat="1" ht="31.5">
      <c r="A420" s="18" t="s">
        <v>216</v>
      </c>
      <c r="B420" s="23" t="s">
        <v>257</v>
      </c>
      <c r="C420" s="14">
        <v>400</v>
      </c>
      <c r="D420" s="53">
        <f>D421</f>
        <v>54045058</v>
      </c>
      <c r="E420" s="53">
        <f>E421</f>
        <v>0</v>
      </c>
      <c r="F420" s="53">
        <f t="shared" si="3"/>
        <v>54045058</v>
      </c>
    </row>
    <row r="421" spans="1:6" s="10" customFormat="1" ht="16.5">
      <c r="A421" s="18" t="s">
        <v>217</v>
      </c>
      <c r="B421" s="23" t="s">
        <v>257</v>
      </c>
      <c r="C421" s="14">
        <v>410</v>
      </c>
      <c r="D421" s="53">
        <v>54045058</v>
      </c>
      <c r="E421" s="53">
        <v>0</v>
      </c>
      <c r="F421" s="53">
        <f t="shared" si="3"/>
        <v>54045058</v>
      </c>
    </row>
    <row r="422" spans="1:6" s="10" customFormat="1" ht="63">
      <c r="A422" s="18" t="s">
        <v>258</v>
      </c>
      <c r="B422" s="23" t="s">
        <v>259</v>
      </c>
      <c r="C422" s="14"/>
      <c r="D422" s="53">
        <f>D423</f>
        <v>130673750</v>
      </c>
      <c r="E422" s="53">
        <f>E423</f>
        <v>45132342.59</v>
      </c>
      <c r="F422" s="53">
        <f aca="true" t="shared" si="5" ref="F422:F485">SUM(D422:E422)</f>
        <v>175806092.59</v>
      </c>
    </row>
    <row r="423" spans="1:6" s="10" customFormat="1" ht="31.5">
      <c r="A423" s="18" t="s">
        <v>216</v>
      </c>
      <c r="B423" s="23" t="s">
        <v>259</v>
      </c>
      <c r="C423" s="14">
        <v>400</v>
      </c>
      <c r="D423" s="53">
        <f>D424</f>
        <v>130673750</v>
      </c>
      <c r="E423" s="53">
        <f>E424</f>
        <v>45132342.59</v>
      </c>
      <c r="F423" s="53">
        <f t="shared" si="5"/>
        <v>175806092.59</v>
      </c>
    </row>
    <row r="424" spans="1:6" s="10" customFormat="1" ht="16.5">
      <c r="A424" s="18" t="s">
        <v>217</v>
      </c>
      <c r="B424" s="23" t="s">
        <v>259</v>
      </c>
      <c r="C424" s="14">
        <v>410</v>
      </c>
      <c r="D424" s="53">
        <f>1306737.5+129367012.5</f>
        <v>130673750</v>
      </c>
      <c r="E424" s="53">
        <f>127970476+399617.35+39562117.44+1292631.8-124092500</f>
        <v>45132342.59</v>
      </c>
      <c r="F424" s="53">
        <f t="shared" si="5"/>
        <v>175806092.59</v>
      </c>
    </row>
    <row r="425" spans="1:6" s="10" customFormat="1" ht="78.75">
      <c r="A425" s="18" t="s">
        <v>260</v>
      </c>
      <c r="B425" s="23" t="s">
        <v>261</v>
      </c>
      <c r="C425" s="14"/>
      <c r="D425" s="53">
        <f>D426</f>
        <v>0</v>
      </c>
      <c r="E425" s="53">
        <f>E426</f>
        <v>124092500</v>
      </c>
      <c r="F425" s="53">
        <f t="shared" si="5"/>
        <v>124092500</v>
      </c>
    </row>
    <row r="426" spans="1:6" s="10" customFormat="1" ht="31.5">
      <c r="A426" s="18" t="s">
        <v>216</v>
      </c>
      <c r="B426" s="23" t="s">
        <v>261</v>
      </c>
      <c r="C426" s="14">
        <v>400</v>
      </c>
      <c r="D426" s="53">
        <f>D427</f>
        <v>0</v>
      </c>
      <c r="E426" s="53">
        <f>E427</f>
        <v>124092500</v>
      </c>
      <c r="F426" s="53">
        <f t="shared" si="5"/>
        <v>124092500</v>
      </c>
    </row>
    <row r="427" spans="1:6" s="10" customFormat="1" ht="16.5">
      <c r="A427" s="18" t="s">
        <v>217</v>
      </c>
      <c r="B427" s="23" t="s">
        <v>261</v>
      </c>
      <c r="C427" s="14">
        <v>410</v>
      </c>
      <c r="D427" s="53">
        <v>0</v>
      </c>
      <c r="E427" s="53">
        <v>124092500</v>
      </c>
      <c r="F427" s="53">
        <f t="shared" si="5"/>
        <v>124092500</v>
      </c>
    </row>
    <row r="428" spans="1:6" s="10" customFormat="1" ht="78.75">
      <c r="A428" s="21" t="s">
        <v>262</v>
      </c>
      <c r="B428" s="24" t="s">
        <v>263</v>
      </c>
      <c r="C428" s="16"/>
      <c r="D428" s="54">
        <f>D429</f>
        <v>52631578.95</v>
      </c>
      <c r="E428" s="54">
        <f>E429</f>
        <v>0</v>
      </c>
      <c r="F428" s="53">
        <f t="shared" si="5"/>
        <v>52631578.95</v>
      </c>
    </row>
    <row r="429" spans="1:6" s="10" customFormat="1" ht="31.5">
      <c r="A429" s="21" t="s">
        <v>7</v>
      </c>
      <c r="B429" s="24" t="s">
        <v>263</v>
      </c>
      <c r="C429" s="16">
        <v>200</v>
      </c>
      <c r="D429" s="54">
        <f>D430</f>
        <v>52631578.95</v>
      </c>
      <c r="E429" s="54">
        <f>E430</f>
        <v>0</v>
      </c>
      <c r="F429" s="53">
        <f t="shared" si="5"/>
        <v>52631578.95</v>
      </c>
    </row>
    <row r="430" spans="1:6" s="10" customFormat="1" ht="31.5">
      <c r="A430" s="21" t="s">
        <v>8</v>
      </c>
      <c r="B430" s="24" t="s">
        <v>263</v>
      </c>
      <c r="C430" s="16">
        <v>240</v>
      </c>
      <c r="D430" s="54">
        <f>2631578.95+50000000</f>
        <v>52631578.95</v>
      </c>
      <c r="E430" s="54">
        <v>0</v>
      </c>
      <c r="F430" s="53">
        <f t="shared" si="5"/>
        <v>52631578.95</v>
      </c>
    </row>
    <row r="431" spans="1:6" s="10" customFormat="1" ht="47.25">
      <c r="A431" s="11" t="s">
        <v>264</v>
      </c>
      <c r="B431" s="12" t="s">
        <v>265</v>
      </c>
      <c r="C431" s="12"/>
      <c r="D431" s="52">
        <f>SUM(D432,D438,D441,D435)</f>
        <v>65500000</v>
      </c>
      <c r="E431" s="52">
        <f>SUM(E432,E438,E441,E435)</f>
        <v>0</v>
      </c>
      <c r="F431" s="52">
        <f t="shared" si="5"/>
        <v>65500000</v>
      </c>
    </row>
    <row r="432" spans="1:6" s="10" customFormat="1" ht="16.5">
      <c r="A432" s="18" t="s">
        <v>266</v>
      </c>
      <c r="B432" s="14" t="s">
        <v>267</v>
      </c>
      <c r="C432" s="14"/>
      <c r="D432" s="53">
        <f>D433</f>
        <v>300000</v>
      </c>
      <c r="E432" s="53">
        <f>E433</f>
        <v>29774.5</v>
      </c>
      <c r="F432" s="53">
        <f t="shared" si="5"/>
        <v>329774.5</v>
      </c>
    </row>
    <row r="433" spans="1:6" s="10" customFormat="1" ht="16.5">
      <c r="A433" s="20" t="s">
        <v>544</v>
      </c>
      <c r="B433" s="14" t="s">
        <v>267</v>
      </c>
      <c r="C433" s="14">
        <v>800</v>
      </c>
      <c r="D433" s="53">
        <f>D434</f>
        <v>300000</v>
      </c>
      <c r="E433" s="53">
        <f>E434</f>
        <v>29774.5</v>
      </c>
      <c r="F433" s="53">
        <f t="shared" si="5"/>
        <v>329774.5</v>
      </c>
    </row>
    <row r="434" spans="1:6" s="10" customFormat="1" ht="47.25">
      <c r="A434" s="18" t="s">
        <v>545</v>
      </c>
      <c r="B434" s="14" t="s">
        <v>267</v>
      </c>
      <c r="C434" s="14">
        <v>810</v>
      </c>
      <c r="D434" s="53">
        <v>300000</v>
      </c>
      <c r="E434" s="53">
        <v>29774.5</v>
      </c>
      <c r="F434" s="53">
        <f t="shared" si="5"/>
        <v>329774.5</v>
      </c>
    </row>
    <row r="435" spans="1:6" s="10" customFormat="1" ht="31.5">
      <c r="A435" s="18" t="s">
        <v>268</v>
      </c>
      <c r="B435" s="14" t="s">
        <v>269</v>
      </c>
      <c r="C435" s="31"/>
      <c r="D435" s="53">
        <f>D436</f>
        <v>9000000</v>
      </c>
      <c r="E435" s="53">
        <f>E436</f>
        <v>0</v>
      </c>
      <c r="F435" s="53">
        <f t="shared" si="5"/>
        <v>9000000</v>
      </c>
    </row>
    <row r="436" spans="1:6" s="10" customFormat="1" ht="31.5">
      <c r="A436" s="20" t="s">
        <v>270</v>
      </c>
      <c r="B436" s="14" t="s">
        <v>269</v>
      </c>
      <c r="C436" s="23" t="s">
        <v>70</v>
      </c>
      <c r="D436" s="53">
        <f>D437</f>
        <v>9000000</v>
      </c>
      <c r="E436" s="53">
        <f>E437</f>
        <v>0</v>
      </c>
      <c r="F436" s="53">
        <f t="shared" si="5"/>
        <v>9000000</v>
      </c>
    </row>
    <row r="437" spans="1:6" s="10" customFormat="1" ht="31.5">
      <c r="A437" s="20" t="s">
        <v>8</v>
      </c>
      <c r="B437" s="14" t="s">
        <v>269</v>
      </c>
      <c r="C437" s="23" t="s">
        <v>71</v>
      </c>
      <c r="D437" s="53">
        <v>9000000</v>
      </c>
      <c r="E437" s="53">
        <v>0</v>
      </c>
      <c r="F437" s="53">
        <f t="shared" si="5"/>
        <v>9000000</v>
      </c>
    </row>
    <row r="438" spans="1:6" s="10" customFormat="1" ht="31.5">
      <c r="A438" s="18" t="s">
        <v>271</v>
      </c>
      <c r="B438" s="14" t="s">
        <v>272</v>
      </c>
      <c r="C438" s="14"/>
      <c r="D438" s="53">
        <f>D439</f>
        <v>56000000</v>
      </c>
      <c r="E438" s="53">
        <f>E439</f>
        <v>0</v>
      </c>
      <c r="F438" s="53">
        <f t="shared" si="5"/>
        <v>56000000</v>
      </c>
    </row>
    <row r="439" spans="1:6" s="10" customFormat="1" ht="16.5">
      <c r="A439" s="18" t="s">
        <v>544</v>
      </c>
      <c r="B439" s="14" t="s">
        <v>272</v>
      </c>
      <c r="C439" s="14">
        <v>800</v>
      </c>
      <c r="D439" s="53">
        <f>D440</f>
        <v>56000000</v>
      </c>
      <c r="E439" s="53">
        <f>E440</f>
        <v>0</v>
      </c>
      <c r="F439" s="53">
        <f t="shared" si="5"/>
        <v>56000000</v>
      </c>
    </row>
    <row r="440" spans="1:6" s="10" customFormat="1" ht="47.25">
      <c r="A440" s="18" t="s">
        <v>545</v>
      </c>
      <c r="B440" s="14" t="s">
        <v>272</v>
      </c>
      <c r="C440" s="14">
        <v>810</v>
      </c>
      <c r="D440" s="53">
        <v>56000000</v>
      </c>
      <c r="E440" s="53">
        <v>0</v>
      </c>
      <c r="F440" s="53">
        <f t="shared" si="5"/>
        <v>56000000</v>
      </c>
    </row>
    <row r="441" spans="1:6" s="10" customFormat="1" ht="31.5">
      <c r="A441" s="18" t="s">
        <v>273</v>
      </c>
      <c r="B441" s="14" t="s">
        <v>274</v>
      </c>
      <c r="C441" s="14"/>
      <c r="D441" s="53">
        <f>D442</f>
        <v>200000</v>
      </c>
      <c r="E441" s="53">
        <f>E442</f>
        <v>-29774.5</v>
      </c>
      <c r="F441" s="53">
        <f t="shared" si="5"/>
        <v>170225.5</v>
      </c>
    </row>
    <row r="442" spans="1:6" s="10" customFormat="1" ht="16.5">
      <c r="A442" s="18" t="s">
        <v>544</v>
      </c>
      <c r="B442" s="14" t="s">
        <v>274</v>
      </c>
      <c r="C442" s="14">
        <v>800</v>
      </c>
      <c r="D442" s="53">
        <f>D443</f>
        <v>200000</v>
      </c>
      <c r="E442" s="53">
        <f>E443</f>
        <v>-29774.5</v>
      </c>
      <c r="F442" s="53">
        <f t="shared" si="5"/>
        <v>170225.5</v>
      </c>
    </row>
    <row r="443" spans="1:6" s="10" customFormat="1" ht="47.25">
      <c r="A443" s="18" t="s">
        <v>545</v>
      </c>
      <c r="B443" s="14" t="s">
        <v>274</v>
      </c>
      <c r="C443" s="14">
        <v>810</v>
      </c>
      <c r="D443" s="53">
        <v>200000</v>
      </c>
      <c r="E443" s="53">
        <v>-29774.5</v>
      </c>
      <c r="F443" s="53">
        <f t="shared" si="5"/>
        <v>170225.5</v>
      </c>
    </row>
    <row r="444" spans="1:6" s="10" customFormat="1" ht="47.25">
      <c r="A444" s="11" t="s">
        <v>275</v>
      </c>
      <c r="B444" s="12" t="s">
        <v>276</v>
      </c>
      <c r="C444" s="12"/>
      <c r="D444" s="52">
        <f>SUM(D445,D448,D451,D454)</f>
        <v>3025000</v>
      </c>
      <c r="E444" s="52">
        <f>SUM(E445,E448,E451,E454)</f>
        <v>0</v>
      </c>
      <c r="F444" s="52">
        <f t="shared" si="5"/>
        <v>3025000</v>
      </c>
    </row>
    <row r="445" spans="1:6" s="10" customFormat="1" ht="47.25">
      <c r="A445" s="18" t="s">
        <v>277</v>
      </c>
      <c r="B445" s="14" t="s">
        <v>278</v>
      </c>
      <c r="C445" s="14"/>
      <c r="D445" s="53">
        <f>D446</f>
        <v>100000</v>
      </c>
      <c r="E445" s="53">
        <f>E446</f>
        <v>0</v>
      </c>
      <c r="F445" s="53">
        <f t="shared" si="5"/>
        <v>100000</v>
      </c>
    </row>
    <row r="446" spans="1:6" s="10" customFormat="1" ht="16.5">
      <c r="A446" s="20" t="s">
        <v>544</v>
      </c>
      <c r="B446" s="14" t="s">
        <v>278</v>
      </c>
      <c r="C446" s="14">
        <v>800</v>
      </c>
      <c r="D446" s="53">
        <f>D447</f>
        <v>100000</v>
      </c>
      <c r="E446" s="53">
        <f>E447</f>
        <v>0</v>
      </c>
      <c r="F446" s="53">
        <f t="shared" si="5"/>
        <v>100000</v>
      </c>
    </row>
    <row r="447" spans="1:6" s="10" customFormat="1" ht="47.25">
      <c r="A447" s="18" t="s">
        <v>545</v>
      </c>
      <c r="B447" s="14" t="s">
        <v>278</v>
      </c>
      <c r="C447" s="14">
        <v>810</v>
      </c>
      <c r="D447" s="26">
        <v>100000</v>
      </c>
      <c r="E447" s="26">
        <v>0</v>
      </c>
      <c r="F447" s="53">
        <f t="shared" si="5"/>
        <v>100000</v>
      </c>
    </row>
    <row r="448" spans="1:6" s="10" customFormat="1" ht="31.5">
      <c r="A448" s="18" t="s">
        <v>279</v>
      </c>
      <c r="B448" s="14" t="s">
        <v>280</v>
      </c>
      <c r="C448" s="14"/>
      <c r="D448" s="53">
        <f>D449</f>
        <v>2000000</v>
      </c>
      <c r="E448" s="53">
        <f>E449</f>
        <v>0</v>
      </c>
      <c r="F448" s="53">
        <f t="shared" si="5"/>
        <v>2000000</v>
      </c>
    </row>
    <row r="449" spans="1:6" s="10" customFormat="1" ht="31.5">
      <c r="A449" s="18" t="s">
        <v>216</v>
      </c>
      <c r="B449" s="14" t="s">
        <v>280</v>
      </c>
      <c r="C449" s="14">
        <v>400</v>
      </c>
      <c r="D449" s="53">
        <f>D450</f>
        <v>2000000</v>
      </c>
      <c r="E449" s="53">
        <f>E450</f>
        <v>0</v>
      </c>
      <c r="F449" s="53">
        <f t="shared" si="5"/>
        <v>2000000</v>
      </c>
    </row>
    <row r="450" spans="1:6" s="10" customFormat="1" ht="110.25">
      <c r="A450" s="18" t="s">
        <v>281</v>
      </c>
      <c r="B450" s="14" t="s">
        <v>280</v>
      </c>
      <c r="C450" s="14">
        <v>460</v>
      </c>
      <c r="D450" s="53">
        <v>2000000</v>
      </c>
      <c r="E450" s="53">
        <v>0</v>
      </c>
      <c r="F450" s="53">
        <f t="shared" si="5"/>
        <v>2000000</v>
      </c>
    </row>
    <row r="451" spans="1:6" s="10" customFormat="1" ht="16.5">
      <c r="A451" s="18" t="s">
        <v>282</v>
      </c>
      <c r="B451" s="14" t="s">
        <v>283</v>
      </c>
      <c r="C451" s="14"/>
      <c r="D451" s="26">
        <f>D452</f>
        <v>800000</v>
      </c>
      <c r="E451" s="26">
        <f>E452</f>
        <v>0</v>
      </c>
      <c r="F451" s="53">
        <f t="shared" si="5"/>
        <v>800000</v>
      </c>
    </row>
    <row r="452" spans="1:6" s="10" customFormat="1" ht="16.5">
      <c r="A452" s="20" t="s">
        <v>544</v>
      </c>
      <c r="B452" s="14" t="s">
        <v>283</v>
      </c>
      <c r="C452" s="14">
        <v>800</v>
      </c>
      <c r="D452" s="26">
        <f>D453</f>
        <v>800000</v>
      </c>
      <c r="E452" s="26">
        <f>E453</f>
        <v>0</v>
      </c>
      <c r="F452" s="53">
        <f t="shared" si="5"/>
        <v>800000</v>
      </c>
    </row>
    <row r="453" spans="1:6" s="10" customFormat="1" ht="47.25">
      <c r="A453" s="18" t="s">
        <v>545</v>
      </c>
      <c r="B453" s="14" t="s">
        <v>283</v>
      </c>
      <c r="C453" s="14">
        <v>810</v>
      </c>
      <c r="D453" s="26">
        <v>800000</v>
      </c>
      <c r="E453" s="26">
        <v>0</v>
      </c>
      <c r="F453" s="53">
        <f t="shared" si="5"/>
        <v>800000</v>
      </c>
    </row>
    <row r="454" spans="1:6" s="10" customFormat="1" ht="31.5">
      <c r="A454" s="18" t="s">
        <v>284</v>
      </c>
      <c r="B454" s="14" t="s">
        <v>285</v>
      </c>
      <c r="C454" s="23"/>
      <c r="D454" s="53">
        <f>D455</f>
        <v>125000</v>
      </c>
      <c r="E454" s="53">
        <f>E455</f>
        <v>0</v>
      </c>
      <c r="F454" s="53">
        <f t="shared" si="5"/>
        <v>125000</v>
      </c>
    </row>
    <row r="455" spans="1:6" s="10" customFormat="1" ht="31.5">
      <c r="A455" s="20" t="s">
        <v>7</v>
      </c>
      <c r="B455" s="14" t="s">
        <v>285</v>
      </c>
      <c r="C455" s="14">
        <v>200</v>
      </c>
      <c r="D455" s="53">
        <f>D456</f>
        <v>125000</v>
      </c>
      <c r="E455" s="53">
        <f>E456</f>
        <v>0</v>
      </c>
      <c r="F455" s="53">
        <f t="shared" si="5"/>
        <v>125000</v>
      </c>
    </row>
    <row r="456" spans="1:6" s="10" customFormat="1" ht="31.5">
      <c r="A456" s="20" t="s">
        <v>8</v>
      </c>
      <c r="B456" s="14" t="s">
        <v>285</v>
      </c>
      <c r="C456" s="14">
        <v>240</v>
      </c>
      <c r="D456" s="53">
        <v>125000</v>
      </c>
      <c r="E456" s="53">
        <v>0</v>
      </c>
      <c r="F456" s="53">
        <f t="shared" si="5"/>
        <v>125000</v>
      </c>
    </row>
    <row r="457" spans="1:6" s="10" customFormat="1" ht="31.5">
      <c r="A457" s="11" t="s">
        <v>286</v>
      </c>
      <c r="B457" s="12" t="s">
        <v>287</v>
      </c>
      <c r="C457" s="12"/>
      <c r="D457" s="52">
        <f>SUM(D458,D473,D480,D493)</f>
        <v>298324468.74</v>
      </c>
      <c r="E457" s="52">
        <f>SUM(E458,E473,E480,E493)</f>
        <v>17639952.01</v>
      </c>
      <c r="F457" s="52">
        <f t="shared" si="5"/>
        <v>315964420.75</v>
      </c>
    </row>
    <row r="458" spans="1:6" s="10" customFormat="1" ht="31.5">
      <c r="A458" s="18" t="s">
        <v>288</v>
      </c>
      <c r="B458" s="14" t="s">
        <v>289</v>
      </c>
      <c r="C458" s="14"/>
      <c r="D458" s="53">
        <f>SUM(D459,D464,D467,D470)</f>
        <v>104798219.47999999</v>
      </c>
      <c r="E458" s="53">
        <f>SUM(E459,E464,E467,E470)</f>
        <v>12025854.21</v>
      </c>
      <c r="F458" s="53">
        <f t="shared" si="5"/>
        <v>116824073.69</v>
      </c>
    </row>
    <row r="459" spans="1:6" s="10" customFormat="1" ht="31.5">
      <c r="A459" s="18" t="s">
        <v>290</v>
      </c>
      <c r="B459" s="14" t="s">
        <v>291</v>
      </c>
      <c r="C459" s="14"/>
      <c r="D459" s="53">
        <f>SUM(D462,D460)</f>
        <v>54446722.48</v>
      </c>
      <c r="E459" s="53">
        <f>SUM(E462,E460)</f>
        <v>3298418</v>
      </c>
      <c r="F459" s="53">
        <f t="shared" si="5"/>
        <v>57745140.48</v>
      </c>
    </row>
    <row r="460" spans="1:6" s="10" customFormat="1" ht="31.5">
      <c r="A460" s="20" t="s">
        <v>7</v>
      </c>
      <c r="B460" s="14" t="s">
        <v>291</v>
      </c>
      <c r="C460" s="14">
        <v>200</v>
      </c>
      <c r="D460" s="53">
        <f>D461</f>
        <v>0</v>
      </c>
      <c r="E460" s="53">
        <f>E461</f>
        <v>1800000</v>
      </c>
      <c r="F460" s="53">
        <f t="shared" si="5"/>
        <v>1800000</v>
      </c>
    </row>
    <row r="461" spans="1:6" s="10" customFormat="1" ht="31.5">
      <c r="A461" s="20" t="s">
        <v>8</v>
      </c>
      <c r="B461" s="14" t="s">
        <v>291</v>
      </c>
      <c r="C461" s="14">
        <v>240</v>
      </c>
      <c r="D461" s="53">
        <v>0</v>
      </c>
      <c r="E461" s="53">
        <v>1800000</v>
      </c>
      <c r="F461" s="53">
        <f t="shared" si="5"/>
        <v>1800000</v>
      </c>
    </row>
    <row r="462" spans="1:6" s="10" customFormat="1" ht="16.5">
      <c r="A462" s="20" t="s">
        <v>544</v>
      </c>
      <c r="B462" s="14" t="s">
        <v>291</v>
      </c>
      <c r="C462" s="14">
        <v>800</v>
      </c>
      <c r="D462" s="53">
        <f>D463</f>
        <v>54446722.48</v>
      </c>
      <c r="E462" s="53">
        <f>E463</f>
        <v>1498418</v>
      </c>
      <c r="F462" s="53">
        <f t="shared" si="5"/>
        <v>55945140.48</v>
      </c>
    </row>
    <row r="463" spans="1:6" s="10" customFormat="1" ht="47.25">
      <c r="A463" s="18" t="s">
        <v>545</v>
      </c>
      <c r="B463" s="14" t="s">
        <v>291</v>
      </c>
      <c r="C463" s="14">
        <v>810</v>
      </c>
      <c r="D463" s="53">
        <v>54446722.48</v>
      </c>
      <c r="E463" s="53">
        <f>500000+998418</f>
        <v>1498418</v>
      </c>
      <c r="F463" s="53">
        <f t="shared" si="5"/>
        <v>55945140.48</v>
      </c>
    </row>
    <row r="464" spans="1:6" s="10" customFormat="1" ht="36.75" customHeight="1">
      <c r="A464" s="18" t="s">
        <v>292</v>
      </c>
      <c r="B464" s="14" t="s">
        <v>293</v>
      </c>
      <c r="C464" s="14"/>
      <c r="D464" s="53">
        <f>D465</f>
        <v>42351497</v>
      </c>
      <c r="E464" s="53">
        <f>E465</f>
        <v>0</v>
      </c>
      <c r="F464" s="53">
        <f t="shared" si="5"/>
        <v>42351497</v>
      </c>
    </row>
    <row r="465" spans="1:6" s="10" customFormat="1" ht="16.5">
      <c r="A465" s="20" t="s">
        <v>544</v>
      </c>
      <c r="B465" s="14" t="s">
        <v>293</v>
      </c>
      <c r="C465" s="14">
        <v>800</v>
      </c>
      <c r="D465" s="53">
        <f>D466</f>
        <v>42351497</v>
      </c>
      <c r="E465" s="53">
        <f>E466</f>
        <v>0</v>
      </c>
      <c r="F465" s="53">
        <f t="shared" si="5"/>
        <v>42351497</v>
      </c>
    </row>
    <row r="466" spans="1:6" s="10" customFormat="1" ht="47.25">
      <c r="A466" s="18" t="s">
        <v>545</v>
      </c>
      <c r="B466" s="14" t="s">
        <v>293</v>
      </c>
      <c r="C466" s="14">
        <v>810</v>
      </c>
      <c r="D466" s="53">
        <v>42351497</v>
      </c>
      <c r="E466" s="53">
        <v>0</v>
      </c>
      <c r="F466" s="53">
        <f t="shared" si="5"/>
        <v>42351497</v>
      </c>
    </row>
    <row r="467" spans="1:6" s="10" customFormat="1" ht="31.5">
      <c r="A467" s="13" t="s">
        <v>294</v>
      </c>
      <c r="B467" s="14" t="s">
        <v>295</v>
      </c>
      <c r="C467" s="14"/>
      <c r="D467" s="53">
        <f>D468</f>
        <v>8000000</v>
      </c>
      <c r="E467" s="53">
        <f>E468</f>
        <v>0</v>
      </c>
      <c r="F467" s="53">
        <f t="shared" si="5"/>
        <v>8000000</v>
      </c>
    </row>
    <row r="468" spans="1:6" s="10" customFormat="1" ht="16.5">
      <c r="A468" s="20" t="s">
        <v>544</v>
      </c>
      <c r="B468" s="14" t="s">
        <v>295</v>
      </c>
      <c r="C468" s="14">
        <v>800</v>
      </c>
      <c r="D468" s="53">
        <f>D469</f>
        <v>8000000</v>
      </c>
      <c r="E468" s="53">
        <f>E469</f>
        <v>0</v>
      </c>
      <c r="F468" s="53">
        <f t="shared" si="5"/>
        <v>8000000</v>
      </c>
    </row>
    <row r="469" spans="1:6" s="10" customFormat="1" ht="47.25">
      <c r="A469" s="18" t="s">
        <v>545</v>
      </c>
      <c r="B469" s="14" t="s">
        <v>295</v>
      </c>
      <c r="C469" s="14">
        <v>810</v>
      </c>
      <c r="D469" s="53">
        <v>8000000</v>
      </c>
      <c r="E469" s="53">
        <v>0</v>
      </c>
      <c r="F469" s="53">
        <f t="shared" si="5"/>
        <v>8000000</v>
      </c>
    </row>
    <row r="470" spans="1:6" s="10" customFormat="1" ht="31.5">
      <c r="A470" s="18" t="s">
        <v>296</v>
      </c>
      <c r="B470" s="14" t="s">
        <v>297</v>
      </c>
      <c r="C470" s="14"/>
      <c r="D470" s="53">
        <f>D471</f>
        <v>0</v>
      </c>
      <c r="E470" s="53">
        <f>E471</f>
        <v>8727436.21</v>
      </c>
      <c r="F470" s="53">
        <f t="shared" si="5"/>
        <v>8727436.21</v>
      </c>
    </row>
    <row r="471" spans="1:6" s="10" customFormat="1" ht="16.5">
      <c r="A471" s="20" t="s">
        <v>544</v>
      </c>
      <c r="B471" s="14" t="s">
        <v>297</v>
      </c>
      <c r="C471" s="14">
        <v>800</v>
      </c>
      <c r="D471" s="53">
        <f>D472</f>
        <v>0</v>
      </c>
      <c r="E471" s="53">
        <f>E472</f>
        <v>8727436.21</v>
      </c>
      <c r="F471" s="53">
        <f t="shared" si="5"/>
        <v>8727436.21</v>
      </c>
    </row>
    <row r="472" spans="1:6" s="10" customFormat="1" ht="47.25">
      <c r="A472" s="18" t="s">
        <v>545</v>
      </c>
      <c r="B472" s="14" t="s">
        <v>297</v>
      </c>
      <c r="C472" s="14">
        <v>810</v>
      </c>
      <c r="D472" s="53">
        <v>0</v>
      </c>
      <c r="E472" s="53">
        <f>5000000+3727436.21</f>
        <v>8727436.21</v>
      </c>
      <c r="F472" s="53">
        <f t="shared" si="5"/>
        <v>8727436.21</v>
      </c>
    </row>
    <row r="473" spans="1:6" s="10" customFormat="1" ht="31.5">
      <c r="A473" s="18" t="s">
        <v>298</v>
      </c>
      <c r="B473" s="14" t="s">
        <v>299</v>
      </c>
      <c r="C473" s="14"/>
      <c r="D473" s="53">
        <f>SUM(D474,D477)</f>
        <v>56761280</v>
      </c>
      <c r="E473" s="53">
        <f>SUM(E474,E477)</f>
        <v>1399200</v>
      </c>
      <c r="F473" s="53">
        <f t="shared" si="5"/>
        <v>58160480</v>
      </c>
    </row>
    <row r="474" spans="1:6" s="10" customFormat="1" ht="31.5">
      <c r="A474" s="18" t="s">
        <v>300</v>
      </c>
      <c r="B474" s="14" t="s">
        <v>301</v>
      </c>
      <c r="C474" s="14"/>
      <c r="D474" s="53">
        <f>D475</f>
        <v>50000000</v>
      </c>
      <c r="E474" s="53">
        <f>E475</f>
        <v>0</v>
      </c>
      <c r="F474" s="53">
        <f t="shared" si="5"/>
        <v>50000000</v>
      </c>
    </row>
    <row r="475" spans="1:6" s="10" customFormat="1" ht="16.5">
      <c r="A475" s="20" t="s">
        <v>544</v>
      </c>
      <c r="B475" s="14" t="s">
        <v>301</v>
      </c>
      <c r="C475" s="14">
        <v>800</v>
      </c>
      <c r="D475" s="53">
        <f>D476</f>
        <v>50000000</v>
      </c>
      <c r="E475" s="53">
        <f>E476</f>
        <v>0</v>
      </c>
      <c r="F475" s="53">
        <f t="shared" si="5"/>
        <v>50000000</v>
      </c>
    </row>
    <row r="476" spans="1:6" s="10" customFormat="1" ht="47.25">
      <c r="A476" s="18" t="s">
        <v>545</v>
      </c>
      <c r="B476" s="14" t="s">
        <v>301</v>
      </c>
      <c r="C476" s="14">
        <v>810</v>
      </c>
      <c r="D476" s="53">
        <v>50000000</v>
      </c>
      <c r="E476" s="53">
        <v>0</v>
      </c>
      <c r="F476" s="53">
        <f t="shared" si="5"/>
        <v>50000000</v>
      </c>
    </row>
    <row r="477" spans="1:6" s="10" customFormat="1" ht="29.25" customHeight="1">
      <c r="A477" s="18" t="s">
        <v>302</v>
      </c>
      <c r="B477" s="14" t="s">
        <v>303</v>
      </c>
      <c r="C477" s="14"/>
      <c r="D477" s="53">
        <f>D478</f>
        <v>6761280</v>
      </c>
      <c r="E477" s="53">
        <f>E478</f>
        <v>1399200</v>
      </c>
      <c r="F477" s="53">
        <f t="shared" si="5"/>
        <v>8160480</v>
      </c>
    </row>
    <row r="478" spans="1:6" s="10" customFormat="1" ht="31.5">
      <c r="A478" s="18" t="s">
        <v>216</v>
      </c>
      <c r="B478" s="14" t="s">
        <v>303</v>
      </c>
      <c r="C478" s="14">
        <v>400</v>
      </c>
      <c r="D478" s="53">
        <f>D479</f>
        <v>6761280</v>
      </c>
      <c r="E478" s="53">
        <f>E479</f>
        <v>1399200</v>
      </c>
      <c r="F478" s="53">
        <f t="shared" si="5"/>
        <v>8160480</v>
      </c>
    </row>
    <row r="479" spans="1:6" s="10" customFormat="1" ht="110.25">
      <c r="A479" s="18" t="s">
        <v>281</v>
      </c>
      <c r="B479" s="14" t="s">
        <v>303</v>
      </c>
      <c r="C479" s="14">
        <v>460</v>
      </c>
      <c r="D479" s="53">
        <v>6761280</v>
      </c>
      <c r="E479" s="53">
        <f>600000+799200</f>
        <v>1399200</v>
      </c>
      <c r="F479" s="53">
        <f t="shared" si="5"/>
        <v>8160480</v>
      </c>
    </row>
    <row r="480" spans="1:6" s="10" customFormat="1" ht="31.5">
      <c r="A480" s="13" t="s">
        <v>304</v>
      </c>
      <c r="B480" s="14" t="s">
        <v>305</v>
      </c>
      <c r="C480" s="14"/>
      <c r="D480" s="53">
        <f>SUM(D481,D484,D490,D487)</f>
        <v>76604969.25999999</v>
      </c>
      <c r="E480" s="53">
        <f>SUM(E481,E484,E490,E487)</f>
        <v>1184542.8</v>
      </c>
      <c r="F480" s="53">
        <f t="shared" si="5"/>
        <v>77789512.05999999</v>
      </c>
    </row>
    <row r="481" spans="1:6" s="10" customFormat="1" ht="31.5">
      <c r="A481" s="13" t="s">
        <v>306</v>
      </c>
      <c r="B481" s="14" t="s">
        <v>307</v>
      </c>
      <c r="C481" s="14"/>
      <c r="D481" s="53">
        <f>SUM(D482)</f>
        <v>37000000</v>
      </c>
      <c r="E481" s="53">
        <f>SUM(E482)</f>
        <v>120000</v>
      </c>
      <c r="F481" s="53">
        <f t="shared" si="5"/>
        <v>37120000</v>
      </c>
    </row>
    <row r="482" spans="1:6" s="10" customFormat="1" ht="31.5">
      <c r="A482" s="18" t="s">
        <v>541</v>
      </c>
      <c r="B482" s="14" t="s">
        <v>307</v>
      </c>
      <c r="C482" s="14">
        <v>600</v>
      </c>
      <c r="D482" s="53">
        <f>D483</f>
        <v>37000000</v>
      </c>
      <c r="E482" s="53">
        <f>E483</f>
        <v>120000</v>
      </c>
      <c r="F482" s="53">
        <f t="shared" si="5"/>
        <v>37120000</v>
      </c>
    </row>
    <row r="483" spans="1:6" s="10" customFormat="1" ht="16.5">
      <c r="A483" s="18" t="s">
        <v>47</v>
      </c>
      <c r="B483" s="14" t="s">
        <v>307</v>
      </c>
      <c r="C483" s="14">
        <v>620</v>
      </c>
      <c r="D483" s="53">
        <v>37000000</v>
      </c>
      <c r="E483" s="53">
        <v>120000</v>
      </c>
      <c r="F483" s="53">
        <f t="shared" si="5"/>
        <v>37120000</v>
      </c>
    </row>
    <row r="484" spans="1:6" s="10" customFormat="1" ht="31.5">
      <c r="A484" s="13" t="s">
        <v>308</v>
      </c>
      <c r="B484" s="14" t="s">
        <v>309</v>
      </c>
      <c r="C484" s="14"/>
      <c r="D484" s="53">
        <f>D485</f>
        <v>2000000</v>
      </c>
      <c r="E484" s="53">
        <f>E485</f>
        <v>0</v>
      </c>
      <c r="F484" s="53">
        <f t="shared" si="5"/>
        <v>2000000</v>
      </c>
    </row>
    <row r="485" spans="1:6" s="10" customFormat="1" ht="31.5">
      <c r="A485" s="18" t="s">
        <v>541</v>
      </c>
      <c r="B485" s="14" t="s">
        <v>309</v>
      </c>
      <c r="C485" s="14">
        <v>600</v>
      </c>
      <c r="D485" s="53">
        <f>D486</f>
        <v>2000000</v>
      </c>
      <c r="E485" s="53">
        <f>E486</f>
        <v>0</v>
      </c>
      <c r="F485" s="53">
        <f t="shared" si="5"/>
        <v>2000000</v>
      </c>
    </row>
    <row r="486" spans="1:6" s="10" customFormat="1" ht="16.5">
      <c r="A486" s="18" t="s">
        <v>47</v>
      </c>
      <c r="B486" s="14" t="s">
        <v>309</v>
      </c>
      <c r="C486" s="14">
        <v>620</v>
      </c>
      <c r="D486" s="53">
        <v>2000000</v>
      </c>
      <c r="E486" s="53">
        <v>0</v>
      </c>
      <c r="F486" s="53">
        <f aca="true" t="shared" si="6" ref="F486:F549">SUM(D486:E486)</f>
        <v>2000000</v>
      </c>
    </row>
    <row r="487" spans="1:6" s="10" customFormat="1" ht="31.5">
      <c r="A487" s="18" t="s">
        <v>310</v>
      </c>
      <c r="B487" s="14" t="s">
        <v>311</v>
      </c>
      <c r="C487" s="14"/>
      <c r="D487" s="53">
        <f>D488</f>
        <v>22639424.4</v>
      </c>
      <c r="E487" s="53">
        <f>E488</f>
        <v>0</v>
      </c>
      <c r="F487" s="56">
        <f t="shared" si="6"/>
        <v>22639424.4</v>
      </c>
    </row>
    <row r="488" spans="1:6" s="10" customFormat="1" ht="31.5">
      <c r="A488" s="20" t="s">
        <v>7</v>
      </c>
      <c r="B488" s="14" t="s">
        <v>311</v>
      </c>
      <c r="C488" s="14">
        <v>200</v>
      </c>
      <c r="D488" s="53">
        <f>D489</f>
        <v>22639424.4</v>
      </c>
      <c r="E488" s="53">
        <f>E489</f>
        <v>0</v>
      </c>
      <c r="F488" s="56">
        <f t="shared" si="6"/>
        <v>22639424.4</v>
      </c>
    </row>
    <row r="489" spans="1:6" s="10" customFormat="1" ht="31.5">
      <c r="A489" s="20" t="s">
        <v>8</v>
      </c>
      <c r="B489" s="14" t="s">
        <v>311</v>
      </c>
      <c r="C489" s="14">
        <v>240</v>
      </c>
      <c r="D489" s="53">
        <v>22639424.4</v>
      </c>
      <c r="E489" s="53">
        <v>0</v>
      </c>
      <c r="F489" s="56">
        <f t="shared" si="6"/>
        <v>22639424.4</v>
      </c>
    </row>
    <row r="490" spans="1:6" s="10" customFormat="1" ht="31.5">
      <c r="A490" s="20" t="s">
        <v>312</v>
      </c>
      <c r="B490" s="14" t="s">
        <v>313</v>
      </c>
      <c r="C490" s="14"/>
      <c r="D490" s="53">
        <f>D491</f>
        <v>14965544.86</v>
      </c>
      <c r="E490" s="53">
        <f>E491</f>
        <v>1064542.8</v>
      </c>
      <c r="F490" s="53">
        <f t="shared" si="6"/>
        <v>16030087.66</v>
      </c>
    </row>
    <row r="491" spans="1:6" s="10" customFormat="1" ht="31.5">
      <c r="A491" s="18" t="s">
        <v>216</v>
      </c>
      <c r="B491" s="14" t="s">
        <v>313</v>
      </c>
      <c r="C491" s="14">
        <v>400</v>
      </c>
      <c r="D491" s="53">
        <f>D492</f>
        <v>14965544.86</v>
      </c>
      <c r="E491" s="53">
        <f>E492</f>
        <v>1064542.8</v>
      </c>
      <c r="F491" s="53">
        <f t="shared" si="6"/>
        <v>16030087.66</v>
      </c>
    </row>
    <row r="492" spans="1:6" s="10" customFormat="1" ht="16.5">
      <c r="A492" s="18" t="s">
        <v>217</v>
      </c>
      <c r="B492" s="14" t="s">
        <v>313</v>
      </c>
      <c r="C492" s="14">
        <v>410</v>
      </c>
      <c r="D492" s="53">
        <v>14965544.86</v>
      </c>
      <c r="E492" s="53">
        <v>1064542.8</v>
      </c>
      <c r="F492" s="53">
        <f t="shared" si="6"/>
        <v>16030087.66</v>
      </c>
    </row>
    <row r="493" spans="1:6" s="10" customFormat="1" ht="16.5">
      <c r="A493" s="13" t="s">
        <v>314</v>
      </c>
      <c r="B493" s="14" t="s">
        <v>315</v>
      </c>
      <c r="C493" s="14"/>
      <c r="D493" s="53">
        <f>SUM(D494,D501)</f>
        <v>60160000</v>
      </c>
      <c r="E493" s="53">
        <f>SUM(E494,E501)</f>
        <v>3030355</v>
      </c>
      <c r="F493" s="53">
        <f t="shared" si="6"/>
        <v>63190355</v>
      </c>
    </row>
    <row r="494" spans="1:6" s="10" customFormat="1" ht="16.5">
      <c r="A494" s="13" t="s">
        <v>316</v>
      </c>
      <c r="B494" s="14" t="s">
        <v>317</v>
      </c>
      <c r="C494" s="14"/>
      <c r="D494" s="53">
        <f>SUM(D495,D497,D499)</f>
        <v>57160000</v>
      </c>
      <c r="E494" s="53">
        <f>SUM(E495,E497,E499)</f>
        <v>3329542.7800000003</v>
      </c>
      <c r="F494" s="53">
        <f t="shared" si="6"/>
        <v>60489542.78</v>
      </c>
    </row>
    <row r="495" spans="1:6" s="10" customFormat="1" ht="78.75">
      <c r="A495" s="22" t="s">
        <v>66</v>
      </c>
      <c r="B495" s="14" t="s">
        <v>317</v>
      </c>
      <c r="C495" s="14">
        <v>100</v>
      </c>
      <c r="D495" s="53">
        <f>D496</f>
        <v>30000000</v>
      </c>
      <c r="E495" s="53">
        <f>E496</f>
        <v>3030355</v>
      </c>
      <c r="F495" s="53">
        <f t="shared" si="6"/>
        <v>33030355</v>
      </c>
    </row>
    <row r="496" spans="1:6" s="10" customFormat="1" ht="16.5">
      <c r="A496" s="22" t="s">
        <v>77</v>
      </c>
      <c r="B496" s="14" t="s">
        <v>317</v>
      </c>
      <c r="C496" s="14">
        <v>110</v>
      </c>
      <c r="D496" s="53">
        <v>30000000</v>
      </c>
      <c r="E496" s="53">
        <v>3030355</v>
      </c>
      <c r="F496" s="53">
        <f t="shared" si="6"/>
        <v>33030355</v>
      </c>
    </row>
    <row r="497" spans="1:6" s="10" customFormat="1" ht="31.5">
      <c r="A497" s="20" t="s">
        <v>7</v>
      </c>
      <c r="B497" s="14" t="s">
        <v>317</v>
      </c>
      <c r="C497" s="14">
        <v>200</v>
      </c>
      <c r="D497" s="53">
        <f>D498</f>
        <v>27000000</v>
      </c>
      <c r="E497" s="53">
        <f>E498</f>
        <v>299187.78</v>
      </c>
      <c r="F497" s="53">
        <f t="shared" si="6"/>
        <v>27299187.78</v>
      </c>
    </row>
    <row r="498" spans="1:6" s="10" customFormat="1" ht="31.5">
      <c r="A498" s="20" t="s">
        <v>8</v>
      </c>
      <c r="B498" s="14" t="s">
        <v>317</v>
      </c>
      <c r="C498" s="14">
        <v>240</v>
      </c>
      <c r="D498" s="53">
        <v>27000000</v>
      </c>
      <c r="E498" s="53">
        <f>299187.78</f>
        <v>299187.78</v>
      </c>
      <c r="F498" s="53">
        <f t="shared" si="6"/>
        <v>27299187.78</v>
      </c>
    </row>
    <row r="499" spans="1:6" s="10" customFormat="1" ht="16.5">
      <c r="A499" s="20" t="s">
        <v>544</v>
      </c>
      <c r="B499" s="14" t="s">
        <v>317</v>
      </c>
      <c r="C499" s="14">
        <v>800</v>
      </c>
      <c r="D499" s="53">
        <f>D500</f>
        <v>160000</v>
      </c>
      <c r="E499" s="53">
        <f>E500</f>
        <v>0</v>
      </c>
      <c r="F499" s="53">
        <f t="shared" si="6"/>
        <v>160000</v>
      </c>
    </row>
    <row r="500" spans="1:6" s="10" customFormat="1" ht="16.5">
      <c r="A500" s="20" t="s">
        <v>73</v>
      </c>
      <c r="B500" s="14" t="s">
        <v>317</v>
      </c>
      <c r="C500" s="14">
        <v>850</v>
      </c>
      <c r="D500" s="53">
        <v>160000</v>
      </c>
      <c r="E500" s="53">
        <v>0</v>
      </c>
      <c r="F500" s="53">
        <f t="shared" si="6"/>
        <v>160000</v>
      </c>
    </row>
    <row r="501" spans="1:6" s="10" customFormat="1" ht="31.5">
      <c r="A501" s="13" t="s">
        <v>318</v>
      </c>
      <c r="B501" s="14" t="s">
        <v>319</v>
      </c>
      <c r="C501" s="14"/>
      <c r="D501" s="53">
        <f>D502</f>
        <v>3000000</v>
      </c>
      <c r="E501" s="53">
        <f>E502</f>
        <v>-299187.78</v>
      </c>
      <c r="F501" s="53">
        <f t="shared" si="6"/>
        <v>2700812.2199999997</v>
      </c>
    </row>
    <row r="502" spans="1:6" s="10" customFormat="1" ht="31.5">
      <c r="A502" s="20" t="s">
        <v>7</v>
      </c>
      <c r="B502" s="14" t="s">
        <v>319</v>
      </c>
      <c r="C502" s="14">
        <v>200</v>
      </c>
      <c r="D502" s="53">
        <f>D503</f>
        <v>3000000</v>
      </c>
      <c r="E502" s="53">
        <f>E503</f>
        <v>-299187.78</v>
      </c>
      <c r="F502" s="53">
        <f t="shared" si="6"/>
        <v>2700812.2199999997</v>
      </c>
    </row>
    <row r="503" spans="1:6" s="10" customFormat="1" ht="31.5">
      <c r="A503" s="20" t="s">
        <v>8</v>
      </c>
      <c r="B503" s="14" t="s">
        <v>319</v>
      </c>
      <c r="C503" s="14">
        <v>240</v>
      </c>
      <c r="D503" s="26">
        <v>3000000</v>
      </c>
      <c r="E503" s="26">
        <f>-299187.78</f>
        <v>-299187.78</v>
      </c>
      <c r="F503" s="53">
        <f t="shared" si="6"/>
        <v>2700812.2199999997</v>
      </c>
    </row>
    <row r="504" spans="1:6" s="10" customFormat="1" ht="47.25">
      <c r="A504" s="11" t="s">
        <v>320</v>
      </c>
      <c r="B504" s="12" t="s">
        <v>321</v>
      </c>
      <c r="C504" s="12"/>
      <c r="D504" s="52">
        <f>SUM(D505,D509,D512)</f>
        <v>123772597.26</v>
      </c>
      <c r="E504" s="52">
        <f>SUM(E505,E509,E512)</f>
        <v>2110119.12</v>
      </c>
      <c r="F504" s="52">
        <f t="shared" si="6"/>
        <v>125882716.38000001</v>
      </c>
    </row>
    <row r="505" spans="1:6" s="10" customFormat="1" ht="31.5">
      <c r="A505" s="18" t="s">
        <v>322</v>
      </c>
      <c r="B505" s="14" t="s">
        <v>323</v>
      </c>
      <c r="C505" s="14"/>
      <c r="D505" s="53">
        <f>D506</f>
        <v>21860633.89</v>
      </c>
      <c r="E505" s="53">
        <f>E506</f>
        <v>0</v>
      </c>
      <c r="F505" s="53">
        <f t="shared" si="6"/>
        <v>21860633.89</v>
      </c>
    </row>
    <row r="506" spans="1:6" s="10" customFormat="1" ht="31.5">
      <c r="A506" s="18" t="s">
        <v>216</v>
      </c>
      <c r="B506" s="14" t="s">
        <v>323</v>
      </c>
      <c r="C506" s="14">
        <v>400</v>
      </c>
      <c r="D506" s="53">
        <f>D507+D508</f>
        <v>21860633.89</v>
      </c>
      <c r="E506" s="53">
        <f>E507+E508</f>
        <v>0</v>
      </c>
      <c r="F506" s="53">
        <f t="shared" si="6"/>
        <v>21860633.89</v>
      </c>
    </row>
    <row r="507" spans="1:6" s="10" customFormat="1" ht="16.5">
      <c r="A507" s="18" t="s">
        <v>217</v>
      </c>
      <c r="B507" s="14" t="s">
        <v>323</v>
      </c>
      <c r="C507" s="14">
        <v>410</v>
      </c>
      <c r="D507" s="53">
        <v>10000000</v>
      </c>
      <c r="E507" s="53">
        <v>0</v>
      </c>
      <c r="F507" s="53">
        <f t="shared" si="6"/>
        <v>10000000</v>
      </c>
    </row>
    <row r="508" spans="1:6" s="10" customFormat="1" ht="110.25">
      <c r="A508" s="18" t="s">
        <v>324</v>
      </c>
      <c r="B508" s="14" t="s">
        <v>323</v>
      </c>
      <c r="C508" s="14">
        <v>460</v>
      </c>
      <c r="D508" s="53">
        <v>11860633.89</v>
      </c>
      <c r="E508" s="53">
        <v>0</v>
      </c>
      <c r="F508" s="53">
        <f t="shared" si="6"/>
        <v>11860633.89</v>
      </c>
    </row>
    <row r="509" spans="1:6" s="10" customFormat="1" ht="31.5">
      <c r="A509" s="20" t="s">
        <v>325</v>
      </c>
      <c r="B509" s="14" t="s">
        <v>326</v>
      </c>
      <c r="C509" s="14"/>
      <c r="D509" s="26">
        <f>D510</f>
        <v>1097257.37</v>
      </c>
      <c r="E509" s="26">
        <f>E510</f>
        <v>2110119.12</v>
      </c>
      <c r="F509" s="53">
        <f t="shared" si="6"/>
        <v>3207376.49</v>
      </c>
    </row>
    <row r="510" spans="1:6" s="10" customFormat="1" ht="31.5">
      <c r="A510" s="20" t="s">
        <v>541</v>
      </c>
      <c r="B510" s="14" t="s">
        <v>326</v>
      </c>
      <c r="C510" s="14">
        <v>600</v>
      </c>
      <c r="D510" s="26">
        <f>D511</f>
        <v>1097257.37</v>
      </c>
      <c r="E510" s="26">
        <f>E511</f>
        <v>2110119.12</v>
      </c>
      <c r="F510" s="53">
        <f t="shared" si="6"/>
        <v>3207376.49</v>
      </c>
    </row>
    <row r="511" spans="1:6" s="10" customFormat="1" ht="16.5">
      <c r="A511" s="20" t="s">
        <v>542</v>
      </c>
      <c r="B511" s="14" t="s">
        <v>326</v>
      </c>
      <c r="C511" s="14">
        <v>610</v>
      </c>
      <c r="D511" s="26">
        <v>1097257.37</v>
      </c>
      <c r="E511" s="53">
        <f>156261.62+525153.75+442495.5+411415.25+574793</f>
        <v>2110119.12</v>
      </c>
      <c r="F511" s="53">
        <f t="shared" si="6"/>
        <v>3207376.49</v>
      </c>
    </row>
    <row r="512" spans="1:6" s="10" customFormat="1" ht="63">
      <c r="A512" s="17" t="s">
        <v>327</v>
      </c>
      <c r="B512" s="16" t="s">
        <v>328</v>
      </c>
      <c r="C512" s="16"/>
      <c r="D512" s="54">
        <f>D513</f>
        <v>100814706</v>
      </c>
      <c r="E512" s="54">
        <f>E513</f>
        <v>0</v>
      </c>
      <c r="F512" s="53">
        <f t="shared" si="6"/>
        <v>100814706</v>
      </c>
    </row>
    <row r="513" spans="1:6" s="10" customFormat="1" ht="31.5">
      <c r="A513" s="17" t="s">
        <v>216</v>
      </c>
      <c r="B513" s="16" t="s">
        <v>328</v>
      </c>
      <c r="C513" s="16">
        <v>400</v>
      </c>
      <c r="D513" s="54">
        <f>D514</f>
        <v>100814706</v>
      </c>
      <c r="E513" s="54">
        <f>E514</f>
        <v>0</v>
      </c>
      <c r="F513" s="53">
        <f t="shared" si="6"/>
        <v>100814706</v>
      </c>
    </row>
    <row r="514" spans="1:6" s="10" customFormat="1" ht="110.25">
      <c r="A514" s="17" t="s">
        <v>324</v>
      </c>
      <c r="B514" s="16" t="s">
        <v>328</v>
      </c>
      <c r="C514" s="16">
        <v>460</v>
      </c>
      <c r="D514" s="54">
        <v>100814706</v>
      </c>
      <c r="E514" s="54">
        <v>0</v>
      </c>
      <c r="F514" s="53">
        <f t="shared" si="6"/>
        <v>100814706</v>
      </c>
    </row>
    <row r="515" spans="1:6" s="10" customFormat="1" ht="47.25">
      <c r="A515" s="11" t="s">
        <v>329</v>
      </c>
      <c r="B515" s="12" t="s">
        <v>330</v>
      </c>
      <c r="C515" s="12"/>
      <c r="D515" s="52">
        <f>D516+D527</f>
        <v>54147059</v>
      </c>
      <c r="E515" s="52">
        <f>E516+E527</f>
        <v>0</v>
      </c>
      <c r="F515" s="52">
        <f t="shared" si="6"/>
        <v>54147059</v>
      </c>
    </row>
    <row r="516" spans="1:6" s="10" customFormat="1" ht="31.5">
      <c r="A516" s="13" t="s">
        <v>331</v>
      </c>
      <c r="B516" s="14" t="s">
        <v>332</v>
      </c>
      <c r="C516" s="14"/>
      <c r="D516" s="26">
        <f>D517+D524</f>
        <v>34555000</v>
      </c>
      <c r="E516" s="26">
        <f>E517+E524</f>
        <v>0</v>
      </c>
      <c r="F516" s="53">
        <f t="shared" si="6"/>
        <v>34555000</v>
      </c>
    </row>
    <row r="517" spans="1:6" s="10" customFormat="1" ht="63">
      <c r="A517" s="13" t="s">
        <v>333</v>
      </c>
      <c r="B517" s="14" t="s">
        <v>334</v>
      </c>
      <c r="C517" s="14"/>
      <c r="D517" s="26">
        <f>SUM(D518,D520,D522)</f>
        <v>33655000</v>
      </c>
      <c r="E517" s="26">
        <f>SUM(E518,E520,E522)</f>
        <v>0</v>
      </c>
      <c r="F517" s="53">
        <f t="shared" si="6"/>
        <v>33655000</v>
      </c>
    </row>
    <row r="518" spans="1:6" s="10" customFormat="1" ht="78.75">
      <c r="A518" s="22" t="s">
        <v>66</v>
      </c>
      <c r="B518" s="14" t="s">
        <v>334</v>
      </c>
      <c r="C518" s="14">
        <v>100</v>
      </c>
      <c r="D518" s="26">
        <f>D519</f>
        <v>29400000</v>
      </c>
      <c r="E518" s="26">
        <f>E519</f>
        <v>0</v>
      </c>
      <c r="F518" s="53">
        <f t="shared" si="6"/>
        <v>29400000</v>
      </c>
    </row>
    <row r="519" spans="1:6" s="10" customFormat="1" ht="16.5">
      <c r="A519" s="22" t="s">
        <v>77</v>
      </c>
      <c r="B519" s="14" t="s">
        <v>334</v>
      </c>
      <c r="C519" s="14">
        <v>110</v>
      </c>
      <c r="D519" s="26">
        <v>29400000</v>
      </c>
      <c r="E519" s="26"/>
      <c r="F519" s="53">
        <f t="shared" si="6"/>
        <v>29400000</v>
      </c>
    </row>
    <row r="520" spans="1:6" s="10" customFormat="1" ht="31.5">
      <c r="A520" s="20" t="s">
        <v>7</v>
      </c>
      <c r="B520" s="14" t="s">
        <v>334</v>
      </c>
      <c r="C520" s="14">
        <v>200</v>
      </c>
      <c r="D520" s="26">
        <f>D521</f>
        <v>4200000</v>
      </c>
      <c r="E520" s="26">
        <f>E521</f>
        <v>0</v>
      </c>
      <c r="F520" s="53">
        <f t="shared" si="6"/>
        <v>4200000</v>
      </c>
    </row>
    <row r="521" spans="1:6" s="10" customFormat="1" ht="31.5">
      <c r="A521" s="20" t="s">
        <v>8</v>
      </c>
      <c r="B521" s="14" t="s">
        <v>334</v>
      </c>
      <c r="C521" s="14">
        <v>240</v>
      </c>
      <c r="D521" s="26">
        <v>4200000</v>
      </c>
      <c r="E521" s="26">
        <v>0</v>
      </c>
      <c r="F521" s="53">
        <f t="shared" si="6"/>
        <v>4200000</v>
      </c>
    </row>
    <row r="522" spans="1:6" s="10" customFormat="1" ht="16.5">
      <c r="A522" s="20" t="s">
        <v>544</v>
      </c>
      <c r="B522" s="14" t="s">
        <v>334</v>
      </c>
      <c r="C522" s="14">
        <v>800</v>
      </c>
      <c r="D522" s="26">
        <f>D523</f>
        <v>55000</v>
      </c>
      <c r="E522" s="26">
        <f>E523</f>
        <v>0</v>
      </c>
      <c r="F522" s="53">
        <f t="shared" si="6"/>
        <v>55000</v>
      </c>
    </row>
    <row r="523" spans="1:6" s="10" customFormat="1" ht="16.5">
      <c r="A523" s="20" t="s">
        <v>73</v>
      </c>
      <c r="B523" s="14" t="s">
        <v>334</v>
      </c>
      <c r="C523" s="14">
        <v>850</v>
      </c>
      <c r="D523" s="26">
        <v>55000</v>
      </c>
      <c r="E523" s="26">
        <v>0</v>
      </c>
      <c r="F523" s="53">
        <f t="shared" si="6"/>
        <v>55000</v>
      </c>
    </row>
    <row r="524" spans="1:6" s="10" customFormat="1" ht="31.5">
      <c r="A524" s="13" t="s">
        <v>335</v>
      </c>
      <c r="B524" s="14" t="s">
        <v>336</v>
      </c>
      <c r="C524" s="14"/>
      <c r="D524" s="26">
        <f>D525</f>
        <v>900000</v>
      </c>
      <c r="E524" s="26">
        <f>E525</f>
        <v>0</v>
      </c>
      <c r="F524" s="53">
        <f t="shared" si="6"/>
        <v>900000</v>
      </c>
    </row>
    <row r="525" spans="1:6" s="10" customFormat="1" ht="31.5">
      <c r="A525" s="20" t="s">
        <v>7</v>
      </c>
      <c r="B525" s="14" t="s">
        <v>336</v>
      </c>
      <c r="C525" s="14">
        <v>200</v>
      </c>
      <c r="D525" s="26">
        <f>D526</f>
        <v>900000</v>
      </c>
      <c r="E525" s="26">
        <f>E526</f>
        <v>0</v>
      </c>
      <c r="F525" s="53">
        <f t="shared" si="6"/>
        <v>900000</v>
      </c>
    </row>
    <row r="526" spans="1:6" s="10" customFormat="1" ht="31.5">
      <c r="A526" s="20" t="s">
        <v>8</v>
      </c>
      <c r="B526" s="14" t="s">
        <v>336</v>
      </c>
      <c r="C526" s="14">
        <v>240</v>
      </c>
      <c r="D526" s="26">
        <v>900000</v>
      </c>
      <c r="E526" s="26">
        <v>0</v>
      </c>
      <c r="F526" s="53">
        <f t="shared" si="6"/>
        <v>900000</v>
      </c>
    </row>
    <row r="527" spans="1:6" s="10" customFormat="1" ht="47.25">
      <c r="A527" s="13" t="s">
        <v>337</v>
      </c>
      <c r="B527" s="14" t="s">
        <v>338</v>
      </c>
      <c r="C527" s="14"/>
      <c r="D527" s="53">
        <f>D528+D531+D534+D537+D540</f>
        <v>19592059</v>
      </c>
      <c r="E527" s="53">
        <f>E528+E531+E534+E537+E540</f>
        <v>0</v>
      </c>
      <c r="F527" s="53">
        <f t="shared" si="6"/>
        <v>19592059</v>
      </c>
    </row>
    <row r="528" spans="1:6" s="10" customFormat="1" ht="31.5">
      <c r="A528" s="13" t="s">
        <v>339</v>
      </c>
      <c r="B528" s="14" t="s">
        <v>340</v>
      </c>
      <c r="C528" s="14"/>
      <c r="D528" s="53">
        <f>D529</f>
        <v>800000</v>
      </c>
      <c r="E528" s="53">
        <f>E529</f>
        <v>0</v>
      </c>
      <c r="F528" s="53">
        <f t="shared" si="6"/>
        <v>800000</v>
      </c>
    </row>
    <row r="529" spans="1:6" s="10" customFormat="1" ht="31.5">
      <c r="A529" s="18" t="s">
        <v>541</v>
      </c>
      <c r="B529" s="14" t="s">
        <v>340</v>
      </c>
      <c r="C529" s="14">
        <v>600</v>
      </c>
      <c r="D529" s="53">
        <f>D530</f>
        <v>800000</v>
      </c>
      <c r="E529" s="53">
        <f>E530</f>
        <v>0</v>
      </c>
      <c r="F529" s="53">
        <f t="shared" si="6"/>
        <v>800000</v>
      </c>
    </row>
    <row r="530" spans="1:6" s="10" customFormat="1" ht="16.5">
      <c r="A530" s="18" t="s">
        <v>542</v>
      </c>
      <c r="B530" s="14" t="s">
        <v>340</v>
      </c>
      <c r="C530" s="14">
        <v>610</v>
      </c>
      <c r="D530" s="26">
        <v>800000</v>
      </c>
      <c r="E530" s="26">
        <v>0</v>
      </c>
      <c r="F530" s="53">
        <f t="shared" si="6"/>
        <v>800000</v>
      </c>
    </row>
    <row r="531" spans="1:6" s="10" customFormat="1" ht="31.5">
      <c r="A531" s="13" t="s">
        <v>341</v>
      </c>
      <c r="B531" s="14" t="s">
        <v>342</v>
      </c>
      <c r="C531" s="14"/>
      <c r="D531" s="53">
        <f>D532</f>
        <v>17492059</v>
      </c>
      <c r="E531" s="53">
        <f>E532</f>
        <v>0</v>
      </c>
      <c r="F531" s="53">
        <f t="shared" si="6"/>
        <v>17492059</v>
      </c>
    </row>
    <row r="532" spans="1:6" s="10" customFormat="1" ht="31.5">
      <c r="A532" s="20" t="s">
        <v>7</v>
      </c>
      <c r="B532" s="14" t="s">
        <v>342</v>
      </c>
      <c r="C532" s="14">
        <v>200</v>
      </c>
      <c r="D532" s="53">
        <f>D533</f>
        <v>17492059</v>
      </c>
      <c r="E532" s="53">
        <f>E533</f>
        <v>0</v>
      </c>
      <c r="F532" s="53">
        <f t="shared" si="6"/>
        <v>17492059</v>
      </c>
    </row>
    <row r="533" spans="1:6" s="10" customFormat="1" ht="31.5">
      <c r="A533" s="20" t="s">
        <v>8</v>
      </c>
      <c r="B533" s="14" t="s">
        <v>342</v>
      </c>
      <c r="C533" s="14">
        <v>240</v>
      </c>
      <c r="D533" s="53">
        <v>17492059</v>
      </c>
      <c r="E533" s="53">
        <v>0</v>
      </c>
      <c r="F533" s="53">
        <f t="shared" si="6"/>
        <v>17492059</v>
      </c>
    </row>
    <row r="534" spans="1:6" s="10" customFormat="1" ht="31.5">
      <c r="A534" s="13" t="s">
        <v>343</v>
      </c>
      <c r="B534" s="14" t="s">
        <v>344</v>
      </c>
      <c r="C534" s="14"/>
      <c r="D534" s="53">
        <f>D535</f>
        <v>250000</v>
      </c>
      <c r="E534" s="53">
        <f>E535</f>
        <v>0</v>
      </c>
      <c r="F534" s="53">
        <f t="shared" si="6"/>
        <v>250000</v>
      </c>
    </row>
    <row r="535" spans="1:6" s="10" customFormat="1" ht="31.5">
      <c r="A535" s="20" t="s">
        <v>541</v>
      </c>
      <c r="B535" s="14" t="s">
        <v>344</v>
      </c>
      <c r="C535" s="14">
        <v>600</v>
      </c>
      <c r="D535" s="53">
        <f>D536</f>
        <v>250000</v>
      </c>
      <c r="E535" s="53">
        <f>E536</f>
        <v>0</v>
      </c>
      <c r="F535" s="53">
        <f t="shared" si="6"/>
        <v>250000</v>
      </c>
    </row>
    <row r="536" spans="1:6" s="10" customFormat="1" ht="31.5">
      <c r="A536" s="18" t="s">
        <v>543</v>
      </c>
      <c r="B536" s="14" t="s">
        <v>344</v>
      </c>
      <c r="C536" s="14">
        <v>630</v>
      </c>
      <c r="D536" s="53">
        <v>250000</v>
      </c>
      <c r="E536" s="53">
        <v>0</v>
      </c>
      <c r="F536" s="53">
        <f t="shared" si="6"/>
        <v>250000</v>
      </c>
    </row>
    <row r="537" spans="1:6" s="10" customFormat="1" ht="31.5">
      <c r="A537" s="13" t="s">
        <v>345</v>
      </c>
      <c r="B537" s="14" t="s">
        <v>346</v>
      </c>
      <c r="C537" s="14"/>
      <c r="D537" s="53">
        <f>D538</f>
        <v>150000</v>
      </c>
      <c r="E537" s="53">
        <f>E538</f>
        <v>0</v>
      </c>
      <c r="F537" s="53">
        <f t="shared" si="6"/>
        <v>150000</v>
      </c>
    </row>
    <row r="538" spans="1:6" s="10" customFormat="1" ht="31.5">
      <c r="A538" s="18" t="s">
        <v>541</v>
      </c>
      <c r="B538" s="14" t="s">
        <v>346</v>
      </c>
      <c r="C538" s="14">
        <v>600</v>
      </c>
      <c r="D538" s="53">
        <f>D539</f>
        <v>150000</v>
      </c>
      <c r="E538" s="53">
        <f>E539</f>
        <v>0</v>
      </c>
      <c r="F538" s="53">
        <f t="shared" si="6"/>
        <v>150000</v>
      </c>
    </row>
    <row r="539" spans="1:6" s="10" customFormat="1" ht="16.5">
      <c r="A539" s="18" t="s">
        <v>542</v>
      </c>
      <c r="B539" s="14" t="s">
        <v>346</v>
      </c>
      <c r="C539" s="14">
        <v>610</v>
      </c>
      <c r="D539" s="53">
        <v>150000</v>
      </c>
      <c r="E539" s="53">
        <v>0</v>
      </c>
      <c r="F539" s="53">
        <f t="shared" si="6"/>
        <v>150000</v>
      </c>
    </row>
    <row r="540" spans="1:6" s="10" customFormat="1" ht="47.25">
      <c r="A540" s="13" t="s">
        <v>347</v>
      </c>
      <c r="B540" s="14" t="s">
        <v>348</v>
      </c>
      <c r="C540" s="14"/>
      <c r="D540" s="53">
        <f>D541</f>
        <v>900000</v>
      </c>
      <c r="E540" s="53">
        <f>E541</f>
        <v>0</v>
      </c>
      <c r="F540" s="53">
        <f t="shared" si="6"/>
        <v>900000</v>
      </c>
    </row>
    <row r="541" spans="1:6" s="10" customFormat="1" ht="31.5">
      <c r="A541" s="20" t="s">
        <v>541</v>
      </c>
      <c r="B541" s="14" t="s">
        <v>348</v>
      </c>
      <c r="C541" s="14">
        <v>600</v>
      </c>
      <c r="D541" s="53">
        <f>D542</f>
        <v>900000</v>
      </c>
      <c r="E541" s="53">
        <f>E542</f>
        <v>0</v>
      </c>
      <c r="F541" s="53">
        <f t="shared" si="6"/>
        <v>900000</v>
      </c>
    </row>
    <row r="542" spans="1:6" s="10" customFormat="1" ht="31.5">
      <c r="A542" s="18" t="s">
        <v>543</v>
      </c>
      <c r="B542" s="14" t="s">
        <v>348</v>
      </c>
      <c r="C542" s="14">
        <v>630</v>
      </c>
      <c r="D542" s="53">
        <v>900000</v>
      </c>
      <c r="E542" s="53">
        <v>0</v>
      </c>
      <c r="F542" s="53">
        <f t="shared" si="6"/>
        <v>900000</v>
      </c>
    </row>
    <row r="543" spans="1:6" s="10" customFormat="1" ht="47.25">
      <c r="A543" s="11" t="s">
        <v>349</v>
      </c>
      <c r="B543" s="12" t="s">
        <v>350</v>
      </c>
      <c r="C543" s="12"/>
      <c r="D543" s="52">
        <f>SUM(D544,D554)</f>
        <v>28291214.81</v>
      </c>
      <c r="E543" s="52">
        <f>SUM(E544,E554)</f>
        <v>0</v>
      </c>
      <c r="F543" s="52">
        <f t="shared" si="6"/>
        <v>28291214.81</v>
      </c>
    </row>
    <row r="544" spans="1:6" s="10" customFormat="1" ht="31.5">
      <c r="A544" s="18" t="s">
        <v>351</v>
      </c>
      <c r="B544" s="14" t="s">
        <v>352</v>
      </c>
      <c r="C544" s="14"/>
      <c r="D544" s="53">
        <f>SUM(D545,D548,D551)</f>
        <v>1691214.81</v>
      </c>
      <c r="E544" s="53">
        <f>SUM(E545,E548,E551)</f>
        <v>0</v>
      </c>
      <c r="F544" s="53">
        <f t="shared" si="6"/>
        <v>1691214.81</v>
      </c>
    </row>
    <row r="545" spans="1:6" s="10" customFormat="1" ht="78.75">
      <c r="A545" s="18" t="s">
        <v>353</v>
      </c>
      <c r="B545" s="14" t="s">
        <v>354</v>
      </c>
      <c r="C545" s="14"/>
      <c r="D545" s="53">
        <f>D546</f>
        <v>300000</v>
      </c>
      <c r="E545" s="53">
        <f>E546</f>
        <v>0</v>
      </c>
      <c r="F545" s="53">
        <f t="shared" si="6"/>
        <v>300000</v>
      </c>
    </row>
    <row r="546" spans="1:6" s="10" customFormat="1" ht="16.5">
      <c r="A546" s="18" t="s">
        <v>544</v>
      </c>
      <c r="B546" s="14" t="s">
        <v>354</v>
      </c>
      <c r="C546" s="14">
        <v>800</v>
      </c>
      <c r="D546" s="53">
        <f>D547</f>
        <v>300000</v>
      </c>
      <c r="E546" s="53">
        <f>E547</f>
        <v>0</v>
      </c>
      <c r="F546" s="53">
        <f t="shared" si="6"/>
        <v>300000</v>
      </c>
    </row>
    <row r="547" spans="1:6" s="10" customFormat="1" ht="47.25">
      <c r="A547" s="18" t="s">
        <v>545</v>
      </c>
      <c r="B547" s="14" t="s">
        <v>354</v>
      </c>
      <c r="C547" s="14">
        <v>810</v>
      </c>
      <c r="D547" s="53">
        <v>300000</v>
      </c>
      <c r="E547" s="53">
        <v>0</v>
      </c>
      <c r="F547" s="53">
        <f t="shared" si="6"/>
        <v>300000</v>
      </c>
    </row>
    <row r="548" spans="1:6" s="10" customFormat="1" ht="31.5">
      <c r="A548" s="17" t="s">
        <v>355</v>
      </c>
      <c r="B548" s="16" t="s">
        <v>356</v>
      </c>
      <c r="C548" s="16"/>
      <c r="D548" s="54">
        <f>D549</f>
        <v>700000</v>
      </c>
      <c r="E548" s="54">
        <f>E549</f>
        <v>0</v>
      </c>
      <c r="F548" s="53">
        <f t="shared" si="6"/>
        <v>700000</v>
      </c>
    </row>
    <row r="549" spans="1:6" s="10" customFormat="1" ht="16.5">
      <c r="A549" s="17" t="s">
        <v>544</v>
      </c>
      <c r="B549" s="16" t="s">
        <v>356</v>
      </c>
      <c r="C549" s="16">
        <v>800</v>
      </c>
      <c r="D549" s="54">
        <f>D550</f>
        <v>700000</v>
      </c>
      <c r="E549" s="54">
        <f>E550</f>
        <v>0</v>
      </c>
      <c r="F549" s="53">
        <f t="shared" si="6"/>
        <v>700000</v>
      </c>
    </row>
    <row r="550" spans="1:6" s="10" customFormat="1" ht="47.25">
      <c r="A550" s="17" t="s">
        <v>545</v>
      </c>
      <c r="B550" s="16" t="s">
        <v>356</v>
      </c>
      <c r="C550" s="16">
        <v>810</v>
      </c>
      <c r="D550" s="54">
        <v>700000</v>
      </c>
      <c r="E550" s="54">
        <v>0</v>
      </c>
      <c r="F550" s="53">
        <f aca="true" t="shared" si="7" ref="F550:F613">SUM(D550:E550)</f>
        <v>700000</v>
      </c>
    </row>
    <row r="551" spans="1:6" s="10" customFormat="1" ht="63">
      <c r="A551" s="17" t="s">
        <v>357</v>
      </c>
      <c r="B551" s="16" t="s">
        <v>358</v>
      </c>
      <c r="C551" s="16"/>
      <c r="D551" s="54">
        <f>D552</f>
        <v>691214.81</v>
      </c>
      <c r="E551" s="54">
        <f>E552</f>
        <v>0</v>
      </c>
      <c r="F551" s="53">
        <f t="shared" si="7"/>
        <v>691214.81</v>
      </c>
    </row>
    <row r="552" spans="1:6" s="10" customFormat="1" ht="16.5">
      <c r="A552" s="17" t="s">
        <v>544</v>
      </c>
      <c r="B552" s="16" t="s">
        <v>358</v>
      </c>
      <c r="C552" s="16">
        <v>800</v>
      </c>
      <c r="D552" s="54">
        <f>D553</f>
        <v>691214.81</v>
      </c>
      <c r="E552" s="54">
        <f>E553</f>
        <v>0</v>
      </c>
      <c r="F552" s="53">
        <f t="shared" si="7"/>
        <v>691214.81</v>
      </c>
    </row>
    <row r="553" spans="1:6" s="10" customFormat="1" ht="47.25">
      <c r="A553" s="17" t="s">
        <v>545</v>
      </c>
      <c r="B553" s="16" t="s">
        <v>358</v>
      </c>
      <c r="C553" s="16">
        <v>810</v>
      </c>
      <c r="D553" s="54">
        <v>691214.81</v>
      </c>
      <c r="E553" s="54">
        <v>0</v>
      </c>
      <c r="F553" s="53">
        <f t="shared" si="7"/>
        <v>691214.81</v>
      </c>
    </row>
    <row r="554" spans="1:6" s="10" customFormat="1" ht="31.5">
      <c r="A554" s="18" t="s">
        <v>359</v>
      </c>
      <c r="B554" s="14" t="s">
        <v>360</v>
      </c>
      <c r="C554" s="14"/>
      <c r="D554" s="53">
        <f>SUM(D555,D558,D561,D564)</f>
        <v>26600000</v>
      </c>
      <c r="E554" s="53">
        <f>SUM(E555,E558,E561,E564)</f>
        <v>0</v>
      </c>
      <c r="F554" s="53">
        <f t="shared" si="7"/>
        <v>26600000</v>
      </c>
    </row>
    <row r="555" spans="1:6" s="10" customFormat="1" ht="47.25">
      <c r="A555" s="18" t="s">
        <v>361</v>
      </c>
      <c r="B555" s="14" t="s">
        <v>362</v>
      </c>
      <c r="C555" s="14"/>
      <c r="D555" s="53">
        <f>SUM(D556)</f>
        <v>1500000</v>
      </c>
      <c r="E555" s="53">
        <f>SUM(E556)</f>
        <v>0</v>
      </c>
      <c r="F555" s="53">
        <f t="shared" si="7"/>
        <v>1500000</v>
      </c>
    </row>
    <row r="556" spans="1:6" s="10" customFormat="1" ht="31.5">
      <c r="A556" s="20" t="s">
        <v>541</v>
      </c>
      <c r="B556" s="14" t="s">
        <v>362</v>
      </c>
      <c r="C556" s="14">
        <v>600</v>
      </c>
      <c r="D556" s="53">
        <f>D557</f>
        <v>1500000</v>
      </c>
      <c r="E556" s="53">
        <f>E557</f>
        <v>0</v>
      </c>
      <c r="F556" s="53">
        <f t="shared" si="7"/>
        <v>1500000</v>
      </c>
    </row>
    <row r="557" spans="1:6" s="10" customFormat="1" ht="31.5">
      <c r="A557" s="20" t="s">
        <v>543</v>
      </c>
      <c r="B557" s="14" t="s">
        <v>362</v>
      </c>
      <c r="C557" s="14">
        <v>630</v>
      </c>
      <c r="D557" s="53">
        <v>1500000</v>
      </c>
      <c r="E557" s="53">
        <v>0</v>
      </c>
      <c r="F557" s="53">
        <f t="shared" si="7"/>
        <v>1500000</v>
      </c>
    </row>
    <row r="558" spans="1:6" s="10" customFormat="1" ht="31.5">
      <c r="A558" s="18" t="s">
        <v>363</v>
      </c>
      <c r="B558" s="14" t="s">
        <v>364</v>
      </c>
      <c r="C558" s="14"/>
      <c r="D558" s="53">
        <f>D559</f>
        <v>10100000</v>
      </c>
      <c r="E558" s="53">
        <f>E559</f>
        <v>0</v>
      </c>
      <c r="F558" s="53">
        <f t="shared" si="7"/>
        <v>10100000</v>
      </c>
    </row>
    <row r="559" spans="1:6" s="10" customFormat="1" ht="16.5">
      <c r="A559" s="18" t="s">
        <v>544</v>
      </c>
      <c r="B559" s="14" t="s">
        <v>364</v>
      </c>
      <c r="C559" s="14">
        <v>800</v>
      </c>
      <c r="D559" s="53">
        <f>D560</f>
        <v>10100000</v>
      </c>
      <c r="E559" s="53">
        <f>E560</f>
        <v>0</v>
      </c>
      <c r="F559" s="53">
        <f t="shared" si="7"/>
        <v>10100000</v>
      </c>
    </row>
    <row r="560" spans="1:6" s="10" customFormat="1" ht="47.25">
      <c r="A560" s="18" t="s">
        <v>545</v>
      </c>
      <c r="B560" s="14" t="s">
        <v>364</v>
      </c>
      <c r="C560" s="14">
        <v>810</v>
      </c>
      <c r="D560" s="53">
        <v>10100000</v>
      </c>
      <c r="E560" s="53">
        <v>0</v>
      </c>
      <c r="F560" s="53">
        <f t="shared" si="7"/>
        <v>10100000</v>
      </c>
    </row>
    <row r="561" spans="1:6" s="10" customFormat="1" ht="141.75">
      <c r="A561" s="32" t="s">
        <v>365</v>
      </c>
      <c r="B561" s="14" t="s">
        <v>366</v>
      </c>
      <c r="C561" s="14"/>
      <c r="D561" s="26">
        <f>D562</f>
        <v>10000000</v>
      </c>
      <c r="E561" s="26">
        <f>E562</f>
        <v>0</v>
      </c>
      <c r="F561" s="53">
        <f t="shared" si="7"/>
        <v>10000000</v>
      </c>
    </row>
    <row r="562" spans="1:6" s="10" customFormat="1" ht="31.5">
      <c r="A562" s="20" t="s">
        <v>541</v>
      </c>
      <c r="B562" s="14" t="s">
        <v>366</v>
      </c>
      <c r="C562" s="14">
        <v>600</v>
      </c>
      <c r="D562" s="26">
        <f>D563</f>
        <v>10000000</v>
      </c>
      <c r="E562" s="26">
        <f>E563</f>
        <v>0</v>
      </c>
      <c r="F562" s="53">
        <f t="shared" si="7"/>
        <v>10000000</v>
      </c>
    </row>
    <row r="563" spans="1:6" s="10" customFormat="1" ht="31.5">
      <c r="A563" s="20" t="s">
        <v>543</v>
      </c>
      <c r="B563" s="14" t="s">
        <v>366</v>
      </c>
      <c r="C563" s="14">
        <v>630</v>
      </c>
      <c r="D563" s="26">
        <v>10000000</v>
      </c>
      <c r="E563" s="26">
        <v>0</v>
      </c>
      <c r="F563" s="53">
        <f t="shared" si="7"/>
        <v>10000000</v>
      </c>
    </row>
    <row r="564" spans="1:6" s="10" customFormat="1" ht="31.5">
      <c r="A564" s="18" t="s">
        <v>367</v>
      </c>
      <c r="B564" s="14" t="s">
        <v>368</v>
      </c>
      <c r="C564" s="33"/>
      <c r="D564" s="26">
        <f>D565+D567</f>
        <v>5000000</v>
      </c>
      <c r="E564" s="26">
        <f>E565+E567</f>
        <v>0</v>
      </c>
      <c r="F564" s="53">
        <f t="shared" si="7"/>
        <v>5000000</v>
      </c>
    </row>
    <row r="565" spans="1:6" s="10" customFormat="1" ht="31.5">
      <c r="A565" s="20" t="s">
        <v>7</v>
      </c>
      <c r="B565" s="14" t="s">
        <v>368</v>
      </c>
      <c r="C565" s="14">
        <v>200</v>
      </c>
      <c r="D565" s="26">
        <f>D566</f>
        <v>5000000</v>
      </c>
      <c r="E565" s="26">
        <f>E566</f>
        <v>-5000000</v>
      </c>
      <c r="F565" s="53">
        <f t="shared" si="7"/>
        <v>0</v>
      </c>
    </row>
    <row r="566" spans="1:6" s="10" customFormat="1" ht="31.5">
      <c r="A566" s="20" t="s">
        <v>8</v>
      </c>
      <c r="B566" s="14" t="s">
        <v>368</v>
      </c>
      <c r="C566" s="14">
        <v>240</v>
      </c>
      <c r="D566" s="53">
        <v>5000000</v>
      </c>
      <c r="E566" s="53">
        <v>-5000000</v>
      </c>
      <c r="F566" s="53">
        <f t="shared" si="7"/>
        <v>0</v>
      </c>
    </row>
    <row r="567" spans="1:6" s="10" customFormat="1" ht="16.5">
      <c r="A567" s="18" t="s">
        <v>544</v>
      </c>
      <c r="B567" s="14" t="s">
        <v>368</v>
      </c>
      <c r="C567" s="14">
        <v>800</v>
      </c>
      <c r="D567" s="53">
        <f>D568</f>
        <v>0</v>
      </c>
      <c r="E567" s="53">
        <f>E568</f>
        <v>5000000</v>
      </c>
      <c r="F567" s="53">
        <f t="shared" si="7"/>
        <v>5000000</v>
      </c>
    </row>
    <row r="568" spans="1:6" s="10" customFormat="1" ht="47.25">
      <c r="A568" s="18" t="s">
        <v>545</v>
      </c>
      <c r="B568" s="14" t="s">
        <v>368</v>
      </c>
      <c r="C568" s="14">
        <v>810</v>
      </c>
      <c r="D568" s="53">
        <v>0</v>
      </c>
      <c r="E568" s="53">
        <v>5000000</v>
      </c>
      <c r="F568" s="53">
        <f t="shared" si="7"/>
        <v>5000000</v>
      </c>
    </row>
    <row r="569" spans="1:6" s="10" customFormat="1" ht="47.25">
      <c r="A569" s="11" t="s">
        <v>369</v>
      </c>
      <c r="B569" s="12" t="s">
        <v>370</v>
      </c>
      <c r="C569" s="12"/>
      <c r="D569" s="52">
        <f>SUM(D570,D589)</f>
        <v>41796746.03</v>
      </c>
      <c r="E569" s="52">
        <f>SUM(E570,E589)</f>
        <v>1271338.7</v>
      </c>
      <c r="F569" s="52">
        <f t="shared" si="7"/>
        <v>43068084.730000004</v>
      </c>
    </row>
    <row r="570" spans="1:6" s="10" customFormat="1" ht="31.5">
      <c r="A570" s="18" t="s">
        <v>371</v>
      </c>
      <c r="B570" s="14" t="s">
        <v>372</v>
      </c>
      <c r="C570" s="14"/>
      <c r="D570" s="53">
        <f>SUM(D571,D574,D580,D583,D586,D577)</f>
        <v>3943758.27</v>
      </c>
      <c r="E570" s="53">
        <f>SUM(E571,E574,E580,E583,E586,E577)</f>
        <v>0</v>
      </c>
      <c r="F570" s="53">
        <f t="shared" si="7"/>
        <v>3943758.27</v>
      </c>
    </row>
    <row r="571" spans="1:6" s="10" customFormat="1" ht="31.5">
      <c r="A571" s="18" t="s">
        <v>373</v>
      </c>
      <c r="B571" s="14" t="s">
        <v>374</v>
      </c>
      <c r="C571" s="14"/>
      <c r="D571" s="53">
        <f>D572</f>
        <v>215735.43</v>
      </c>
      <c r="E571" s="53">
        <f>E572</f>
        <v>0</v>
      </c>
      <c r="F571" s="53">
        <f t="shared" si="7"/>
        <v>215735.43</v>
      </c>
    </row>
    <row r="572" spans="1:6" s="10" customFormat="1" ht="31.5">
      <c r="A572" s="20" t="s">
        <v>7</v>
      </c>
      <c r="B572" s="14" t="s">
        <v>374</v>
      </c>
      <c r="C572" s="14">
        <v>200</v>
      </c>
      <c r="D572" s="53">
        <f>D573</f>
        <v>215735.43</v>
      </c>
      <c r="E572" s="53">
        <f>E573</f>
        <v>0</v>
      </c>
      <c r="F572" s="53">
        <f t="shared" si="7"/>
        <v>215735.43</v>
      </c>
    </row>
    <row r="573" spans="1:6" s="10" customFormat="1" ht="31.5">
      <c r="A573" s="20" t="s">
        <v>8</v>
      </c>
      <c r="B573" s="14" t="s">
        <v>374</v>
      </c>
      <c r="C573" s="14">
        <v>240</v>
      </c>
      <c r="D573" s="53">
        <v>215735.43</v>
      </c>
      <c r="E573" s="53">
        <v>0</v>
      </c>
      <c r="F573" s="53">
        <f t="shared" si="7"/>
        <v>215735.43</v>
      </c>
    </row>
    <row r="574" spans="1:6" s="10" customFormat="1" ht="49.5" customHeight="1">
      <c r="A574" s="17" t="s">
        <v>375</v>
      </c>
      <c r="B574" s="16" t="s">
        <v>376</v>
      </c>
      <c r="C574" s="16"/>
      <c r="D574" s="54">
        <f>D575</f>
        <v>600026.25</v>
      </c>
      <c r="E574" s="54">
        <f>E575</f>
        <v>0</v>
      </c>
      <c r="F574" s="53">
        <f t="shared" si="7"/>
        <v>600026.25</v>
      </c>
    </row>
    <row r="575" spans="1:6" s="10" customFormat="1" ht="31.5">
      <c r="A575" s="21" t="s">
        <v>7</v>
      </c>
      <c r="B575" s="16" t="s">
        <v>376</v>
      </c>
      <c r="C575" s="16">
        <v>200</v>
      </c>
      <c r="D575" s="54">
        <f>D576</f>
        <v>600026.25</v>
      </c>
      <c r="E575" s="54">
        <f>E576</f>
        <v>0</v>
      </c>
      <c r="F575" s="53">
        <f t="shared" si="7"/>
        <v>600026.25</v>
      </c>
    </row>
    <row r="576" spans="1:6" s="10" customFormat="1" ht="31.5">
      <c r="A576" s="21" t="s">
        <v>8</v>
      </c>
      <c r="B576" s="16" t="s">
        <v>376</v>
      </c>
      <c r="C576" s="16">
        <v>240</v>
      </c>
      <c r="D576" s="54">
        <v>600026.25</v>
      </c>
      <c r="E576" s="54">
        <v>0</v>
      </c>
      <c r="F576" s="53">
        <f t="shared" si="7"/>
        <v>600026.25</v>
      </c>
    </row>
    <row r="577" spans="1:6" s="10" customFormat="1" ht="78.75">
      <c r="A577" s="17" t="s">
        <v>377</v>
      </c>
      <c r="B577" s="16" t="s">
        <v>378</v>
      </c>
      <c r="C577" s="16"/>
      <c r="D577" s="54">
        <f>D578</f>
        <v>731921.54</v>
      </c>
      <c r="E577" s="54">
        <f>E578</f>
        <v>0</v>
      </c>
      <c r="F577" s="53">
        <f t="shared" si="7"/>
        <v>731921.54</v>
      </c>
    </row>
    <row r="578" spans="1:6" s="10" customFormat="1" ht="31.5">
      <c r="A578" s="21" t="s">
        <v>7</v>
      </c>
      <c r="B578" s="16" t="s">
        <v>378</v>
      </c>
      <c r="C578" s="16">
        <v>200</v>
      </c>
      <c r="D578" s="54">
        <f>D579</f>
        <v>731921.54</v>
      </c>
      <c r="E578" s="54">
        <f>E579</f>
        <v>0</v>
      </c>
      <c r="F578" s="53">
        <f t="shared" si="7"/>
        <v>731921.54</v>
      </c>
    </row>
    <row r="579" spans="1:6" s="10" customFormat="1" ht="31.5">
      <c r="A579" s="21" t="s">
        <v>8</v>
      </c>
      <c r="B579" s="16" t="s">
        <v>378</v>
      </c>
      <c r="C579" s="16">
        <v>240</v>
      </c>
      <c r="D579" s="54">
        <v>731921.54</v>
      </c>
      <c r="E579" s="54">
        <v>0</v>
      </c>
      <c r="F579" s="53">
        <f t="shared" si="7"/>
        <v>731921.54</v>
      </c>
    </row>
    <row r="580" spans="1:6" s="10" customFormat="1" ht="63">
      <c r="A580" s="17" t="s">
        <v>379</v>
      </c>
      <c r="B580" s="16" t="s">
        <v>380</v>
      </c>
      <c r="C580" s="16"/>
      <c r="D580" s="54">
        <f>D581</f>
        <v>246075.05</v>
      </c>
      <c r="E580" s="54">
        <f>E581</f>
        <v>0</v>
      </c>
      <c r="F580" s="53">
        <f t="shared" si="7"/>
        <v>246075.05</v>
      </c>
    </row>
    <row r="581" spans="1:6" s="10" customFormat="1" ht="31.5">
      <c r="A581" s="21" t="s">
        <v>7</v>
      </c>
      <c r="B581" s="16" t="s">
        <v>380</v>
      </c>
      <c r="C581" s="16">
        <v>200</v>
      </c>
      <c r="D581" s="54">
        <f>D582</f>
        <v>246075.05</v>
      </c>
      <c r="E581" s="54">
        <f>E582</f>
        <v>0</v>
      </c>
      <c r="F581" s="53">
        <f t="shared" si="7"/>
        <v>246075.05</v>
      </c>
    </row>
    <row r="582" spans="1:6" s="10" customFormat="1" ht="31.5">
      <c r="A582" s="21" t="s">
        <v>8</v>
      </c>
      <c r="B582" s="16" t="s">
        <v>380</v>
      </c>
      <c r="C582" s="16">
        <v>240</v>
      </c>
      <c r="D582" s="54">
        <v>246075.05</v>
      </c>
      <c r="E582" s="54">
        <v>0</v>
      </c>
      <c r="F582" s="53">
        <f t="shared" si="7"/>
        <v>246075.05</v>
      </c>
    </row>
    <row r="583" spans="1:6" s="10" customFormat="1" ht="47.25">
      <c r="A583" s="18" t="s">
        <v>381</v>
      </c>
      <c r="B583" s="14" t="s">
        <v>382</v>
      </c>
      <c r="C583" s="14"/>
      <c r="D583" s="53">
        <f>D584</f>
        <v>150000</v>
      </c>
      <c r="E583" s="53">
        <f>E584</f>
        <v>0</v>
      </c>
      <c r="F583" s="53">
        <f t="shared" si="7"/>
        <v>150000</v>
      </c>
    </row>
    <row r="584" spans="1:6" s="10" customFormat="1" ht="31.5">
      <c r="A584" s="20" t="s">
        <v>7</v>
      </c>
      <c r="B584" s="14" t="s">
        <v>382</v>
      </c>
      <c r="C584" s="14">
        <v>200</v>
      </c>
      <c r="D584" s="53">
        <f>D585</f>
        <v>150000</v>
      </c>
      <c r="E584" s="53">
        <f>E585</f>
        <v>0</v>
      </c>
      <c r="F584" s="53">
        <f t="shared" si="7"/>
        <v>150000</v>
      </c>
    </row>
    <row r="585" spans="1:6" s="10" customFormat="1" ht="31.5">
      <c r="A585" s="20" t="s">
        <v>8</v>
      </c>
      <c r="B585" s="14" t="s">
        <v>382</v>
      </c>
      <c r="C585" s="14">
        <v>240</v>
      </c>
      <c r="D585" s="53">
        <v>150000</v>
      </c>
      <c r="E585" s="53">
        <f>-3626.66+3626.66</f>
        <v>0</v>
      </c>
      <c r="F585" s="53">
        <f t="shared" si="7"/>
        <v>150000</v>
      </c>
    </row>
    <row r="586" spans="1:6" s="10" customFormat="1" ht="31.5">
      <c r="A586" s="18" t="s">
        <v>383</v>
      </c>
      <c r="B586" s="14" t="s">
        <v>384</v>
      </c>
      <c r="C586" s="14"/>
      <c r="D586" s="53">
        <f>D587</f>
        <v>2000000</v>
      </c>
      <c r="E586" s="53">
        <f>E587</f>
        <v>0</v>
      </c>
      <c r="F586" s="53">
        <f t="shared" si="7"/>
        <v>2000000</v>
      </c>
    </row>
    <row r="587" spans="1:6" s="10" customFormat="1" ht="31.5">
      <c r="A587" s="20" t="s">
        <v>7</v>
      </c>
      <c r="B587" s="14" t="s">
        <v>384</v>
      </c>
      <c r="C587" s="14">
        <v>200</v>
      </c>
      <c r="D587" s="53">
        <f>D588</f>
        <v>2000000</v>
      </c>
      <c r="E587" s="53">
        <f>E588</f>
        <v>0</v>
      </c>
      <c r="F587" s="53">
        <f t="shared" si="7"/>
        <v>2000000</v>
      </c>
    </row>
    <row r="588" spans="1:6" s="10" customFormat="1" ht="31.5">
      <c r="A588" s="20" t="s">
        <v>8</v>
      </c>
      <c r="B588" s="14" t="s">
        <v>384</v>
      </c>
      <c r="C588" s="14">
        <v>240</v>
      </c>
      <c r="D588" s="53">
        <v>2000000</v>
      </c>
      <c r="E588" s="53">
        <v>0</v>
      </c>
      <c r="F588" s="53">
        <f t="shared" si="7"/>
        <v>2000000</v>
      </c>
    </row>
    <row r="589" spans="1:6" s="10" customFormat="1" ht="33" customHeight="1">
      <c r="A589" s="20" t="s">
        <v>385</v>
      </c>
      <c r="B589" s="14" t="s">
        <v>386</v>
      </c>
      <c r="C589" s="14"/>
      <c r="D589" s="53">
        <f>D593+D590+D600+D603</f>
        <v>37852987.76</v>
      </c>
      <c r="E589" s="53">
        <f>E593+E590+E600+E603</f>
        <v>1271338.7</v>
      </c>
      <c r="F589" s="53">
        <f t="shared" si="7"/>
        <v>39124326.46</v>
      </c>
    </row>
    <row r="590" spans="1:6" s="10" customFormat="1" ht="110.25">
      <c r="A590" s="21" t="s">
        <v>387</v>
      </c>
      <c r="B590" s="16" t="s">
        <v>388</v>
      </c>
      <c r="C590" s="16"/>
      <c r="D590" s="54">
        <f>D591</f>
        <v>100933.33</v>
      </c>
      <c r="E590" s="54">
        <f>E591</f>
        <v>-73334.77</v>
      </c>
      <c r="F590" s="53">
        <f t="shared" si="7"/>
        <v>27598.559999999998</v>
      </c>
    </row>
    <row r="591" spans="1:6" s="10" customFormat="1" ht="31.5">
      <c r="A591" s="21" t="s">
        <v>7</v>
      </c>
      <c r="B591" s="16" t="s">
        <v>388</v>
      </c>
      <c r="C591" s="16">
        <v>200</v>
      </c>
      <c r="D591" s="54">
        <f>D592</f>
        <v>100933.33</v>
      </c>
      <c r="E591" s="54">
        <f>E592</f>
        <v>-73334.77</v>
      </c>
      <c r="F591" s="53">
        <f t="shared" si="7"/>
        <v>27598.559999999998</v>
      </c>
    </row>
    <row r="592" spans="1:6" s="10" customFormat="1" ht="31.5">
      <c r="A592" s="21" t="s">
        <v>8</v>
      </c>
      <c r="B592" s="16" t="s">
        <v>388</v>
      </c>
      <c r="C592" s="16">
        <v>240</v>
      </c>
      <c r="D592" s="54">
        <v>100933.33</v>
      </c>
      <c r="E592" s="54">
        <f>-66001.3-7333.47</f>
        <v>-73334.77</v>
      </c>
      <c r="F592" s="53">
        <f t="shared" si="7"/>
        <v>27598.559999999998</v>
      </c>
    </row>
    <row r="593" spans="1:6" s="10" customFormat="1" ht="63">
      <c r="A593" s="18" t="s">
        <v>389</v>
      </c>
      <c r="B593" s="14" t="s">
        <v>390</v>
      </c>
      <c r="C593" s="14"/>
      <c r="D593" s="53">
        <f>SUM(D594,D596,D598)</f>
        <v>36534000</v>
      </c>
      <c r="E593" s="53">
        <f>SUM(E594,E596,E598)</f>
        <v>1337340</v>
      </c>
      <c r="F593" s="53">
        <f t="shared" si="7"/>
        <v>37871340</v>
      </c>
    </row>
    <row r="594" spans="1:6" s="10" customFormat="1" ht="78.75">
      <c r="A594" s="22" t="s">
        <v>66</v>
      </c>
      <c r="B594" s="14" t="s">
        <v>390</v>
      </c>
      <c r="C594" s="14">
        <v>100</v>
      </c>
      <c r="D594" s="53">
        <f>D595</f>
        <v>33534000</v>
      </c>
      <c r="E594" s="53">
        <f>E595</f>
        <v>0</v>
      </c>
      <c r="F594" s="53">
        <f t="shared" si="7"/>
        <v>33534000</v>
      </c>
    </row>
    <row r="595" spans="1:6" s="10" customFormat="1" ht="16.5">
      <c r="A595" s="22" t="s">
        <v>77</v>
      </c>
      <c r="B595" s="14" t="s">
        <v>390</v>
      </c>
      <c r="C595" s="14">
        <v>110</v>
      </c>
      <c r="D595" s="53">
        <v>33534000</v>
      </c>
      <c r="E595" s="53">
        <v>0</v>
      </c>
      <c r="F595" s="53">
        <f t="shared" si="7"/>
        <v>33534000</v>
      </c>
    </row>
    <row r="596" spans="1:6" s="10" customFormat="1" ht="31.5">
      <c r="A596" s="20" t="s">
        <v>7</v>
      </c>
      <c r="B596" s="14" t="s">
        <v>390</v>
      </c>
      <c r="C596" s="14">
        <v>200</v>
      </c>
      <c r="D596" s="53">
        <f>D597</f>
        <v>2850000</v>
      </c>
      <c r="E596" s="53">
        <f>E597</f>
        <v>1337340</v>
      </c>
      <c r="F596" s="53">
        <f t="shared" si="7"/>
        <v>4187340</v>
      </c>
    </row>
    <row r="597" spans="1:6" s="10" customFormat="1" ht="31.5">
      <c r="A597" s="20" t="s">
        <v>8</v>
      </c>
      <c r="B597" s="14" t="s">
        <v>390</v>
      </c>
      <c r="C597" s="14">
        <v>240</v>
      </c>
      <c r="D597" s="53">
        <v>2850000</v>
      </c>
      <c r="E597" s="53">
        <f>120000+63132+238400+130000+470808+174000+141000</f>
        <v>1337340</v>
      </c>
      <c r="F597" s="53">
        <f t="shared" si="7"/>
        <v>4187340</v>
      </c>
    </row>
    <row r="598" spans="1:6" s="10" customFormat="1" ht="16.5">
      <c r="A598" s="20" t="s">
        <v>544</v>
      </c>
      <c r="B598" s="14" t="s">
        <v>390</v>
      </c>
      <c r="C598" s="14">
        <v>800</v>
      </c>
      <c r="D598" s="53">
        <f>D599</f>
        <v>150000</v>
      </c>
      <c r="E598" s="53">
        <f>E599</f>
        <v>0</v>
      </c>
      <c r="F598" s="53">
        <f t="shared" si="7"/>
        <v>150000</v>
      </c>
    </row>
    <row r="599" spans="1:6" s="10" customFormat="1" ht="16.5">
      <c r="A599" s="20" t="s">
        <v>73</v>
      </c>
      <c r="B599" s="14" t="s">
        <v>390</v>
      </c>
      <c r="C599" s="14">
        <v>850</v>
      </c>
      <c r="D599" s="53">
        <v>150000</v>
      </c>
      <c r="E599" s="53">
        <v>0</v>
      </c>
      <c r="F599" s="53">
        <f t="shared" si="7"/>
        <v>150000</v>
      </c>
    </row>
    <row r="600" spans="1:6" s="10" customFormat="1" ht="63">
      <c r="A600" s="20" t="s">
        <v>391</v>
      </c>
      <c r="B600" s="14" t="s">
        <v>392</v>
      </c>
      <c r="C600" s="14"/>
      <c r="D600" s="53">
        <f>D601</f>
        <v>955835.54</v>
      </c>
      <c r="E600" s="53">
        <f>E601</f>
        <v>7333.47</v>
      </c>
      <c r="F600" s="53">
        <f t="shared" si="7"/>
        <v>963169.01</v>
      </c>
    </row>
    <row r="601" spans="1:6" s="10" customFormat="1" ht="31.5">
      <c r="A601" s="20" t="s">
        <v>7</v>
      </c>
      <c r="B601" s="14" t="s">
        <v>392</v>
      </c>
      <c r="C601" s="14">
        <v>200</v>
      </c>
      <c r="D601" s="53">
        <f>D602</f>
        <v>955835.54</v>
      </c>
      <c r="E601" s="53">
        <f>E602</f>
        <v>7333.47</v>
      </c>
      <c r="F601" s="53">
        <f t="shared" si="7"/>
        <v>963169.01</v>
      </c>
    </row>
    <row r="602" spans="1:6" s="10" customFormat="1" ht="31.5">
      <c r="A602" s="20" t="s">
        <v>8</v>
      </c>
      <c r="B602" s="14" t="s">
        <v>392</v>
      </c>
      <c r="C602" s="14">
        <v>240</v>
      </c>
      <c r="D602" s="53">
        <f>950000+5835.54</f>
        <v>955835.54</v>
      </c>
      <c r="E602" s="53">
        <v>7333.47</v>
      </c>
      <c r="F602" s="53">
        <f t="shared" si="7"/>
        <v>963169.01</v>
      </c>
    </row>
    <row r="603" spans="1:6" s="10" customFormat="1" ht="31.5">
      <c r="A603" s="21" t="s">
        <v>393</v>
      </c>
      <c r="B603" s="16" t="s">
        <v>394</v>
      </c>
      <c r="C603" s="16"/>
      <c r="D603" s="54">
        <f>D604</f>
        <v>262218.89</v>
      </c>
      <c r="E603" s="54">
        <f>E604</f>
        <v>0</v>
      </c>
      <c r="F603" s="53">
        <f t="shared" si="7"/>
        <v>262218.89</v>
      </c>
    </row>
    <row r="604" spans="1:6" s="10" customFormat="1" ht="16.5">
      <c r="A604" s="21" t="s">
        <v>9</v>
      </c>
      <c r="B604" s="16" t="s">
        <v>394</v>
      </c>
      <c r="C604" s="16">
        <v>300</v>
      </c>
      <c r="D604" s="54">
        <f>D605</f>
        <v>262218.89</v>
      </c>
      <c r="E604" s="54">
        <f>E605</f>
        <v>0</v>
      </c>
      <c r="F604" s="53">
        <f t="shared" si="7"/>
        <v>262218.89</v>
      </c>
    </row>
    <row r="605" spans="1:6" s="10" customFormat="1" ht="16.5">
      <c r="A605" s="21" t="s">
        <v>395</v>
      </c>
      <c r="B605" s="16" t="s">
        <v>394</v>
      </c>
      <c r="C605" s="16">
        <v>360</v>
      </c>
      <c r="D605" s="54">
        <v>262218.89</v>
      </c>
      <c r="E605" s="54">
        <v>0</v>
      </c>
      <c r="F605" s="53">
        <f t="shared" si="7"/>
        <v>262218.89</v>
      </c>
    </row>
    <row r="606" spans="1:6" s="10" customFormat="1" ht="31.5">
      <c r="A606" s="34" t="s">
        <v>396</v>
      </c>
      <c r="B606" s="12" t="s">
        <v>397</v>
      </c>
      <c r="C606" s="12"/>
      <c r="D606" s="58">
        <f>SUM(D616,D607,D613)</f>
        <v>150364785.97</v>
      </c>
      <c r="E606" s="58">
        <f>SUM(E616,E607,E613)</f>
        <v>3560.9799999999814</v>
      </c>
      <c r="F606" s="52">
        <f t="shared" si="7"/>
        <v>150368346.95</v>
      </c>
    </row>
    <row r="607" spans="1:6" s="10" customFormat="1" ht="78.75">
      <c r="A607" s="20" t="s">
        <v>398</v>
      </c>
      <c r="B607" s="14" t="s">
        <v>399</v>
      </c>
      <c r="C607" s="12"/>
      <c r="D607" s="26">
        <f>D610+D608</f>
        <v>23018195.310000002</v>
      </c>
      <c r="E607" s="26">
        <f>E610+E608</f>
        <v>3560.9799999999814</v>
      </c>
      <c r="F607" s="53">
        <f t="shared" si="7"/>
        <v>23021756.290000003</v>
      </c>
    </row>
    <row r="608" spans="1:6" s="10" customFormat="1" ht="31.5">
      <c r="A608" s="21" t="s">
        <v>7</v>
      </c>
      <c r="B608" s="14" t="s">
        <v>399</v>
      </c>
      <c r="C608" s="16">
        <v>200</v>
      </c>
      <c r="D608" s="26">
        <f>D609</f>
        <v>13018195.31</v>
      </c>
      <c r="E608" s="26">
        <f>E609</f>
        <v>0</v>
      </c>
      <c r="F608" s="53">
        <f t="shared" si="7"/>
        <v>13018195.31</v>
      </c>
    </row>
    <row r="609" spans="1:6" s="10" customFormat="1" ht="31.5">
      <c r="A609" s="21" t="s">
        <v>8</v>
      </c>
      <c r="B609" s="14" t="s">
        <v>399</v>
      </c>
      <c r="C609" s="16">
        <v>240</v>
      </c>
      <c r="D609" s="26">
        <v>13018195.31</v>
      </c>
      <c r="E609" s="53">
        <v>0</v>
      </c>
      <c r="F609" s="53">
        <f t="shared" si="7"/>
        <v>13018195.31</v>
      </c>
    </row>
    <row r="610" spans="1:6" s="10" customFormat="1" ht="31.5">
      <c r="A610" s="20" t="s">
        <v>541</v>
      </c>
      <c r="B610" s="14" t="s">
        <v>399</v>
      </c>
      <c r="C610" s="14">
        <v>600</v>
      </c>
      <c r="D610" s="26">
        <f>D612+D611</f>
        <v>10000000</v>
      </c>
      <c r="E610" s="26">
        <f>E612+E611</f>
        <v>3560.9799999999814</v>
      </c>
      <c r="F610" s="53">
        <f t="shared" si="7"/>
        <v>10003560.98</v>
      </c>
    </row>
    <row r="611" spans="1:6" s="10" customFormat="1" ht="16.5">
      <c r="A611" s="18" t="s">
        <v>542</v>
      </c>
      <c r="B611" s="14" t="s">
        <v>399</v>
      </c>
      <c r="C611" s="14">
        <v>610</v>
      </c>
      <c r="D611" s="26">
        <v>0</v>
      </c>
      <c r="E611" s="26">
        <f>2681030.52-2677469.54</f>
        <v>3560.9799999999814</v>
      </c>
      <c r="F611" s="53">
        <f t="shared" si="7"/>
        <v>3560.9799999999814</v>
      </c>
    </row>
    <row r="612" spans="1:6" s="10" customFormat="1" ht="31.5">
      <c r="A612" s="18" t="s">
        <v>543</v>
      </c>
      <c r="B612" s="14" t="s">
        <v>399</v>
      </c>
      <c r="C612" s="14">
        <v>630</v>
      </c>
      <c r="D612" s="26">
        <v>10000000</v>
      </c>
      <c r="E612" s="26">
        <v>0</v>
      </c>
      <c r="F612" s="53">
        <f t="shared" si="7"/>
        <v>10000000</v>
      </c>
    </row>
    <row r="613" spans="1:6" s="10" customFormat="1" ht="179.25" customHeight="1">
      <c r="A613" s="18" t="s">
        <v>400</v>
      </c>
      <c r="B613" s="14" t="s">
        <v>401</v>
      </c>
      <c r="C613" s="14"/>
      <c r="D613" s="26">
        <f>D614</f>
        <v>106000000</v>
      </c>
      <c r="E613" s="26">
        <f>E614</f>
        <v>0</v>
      </c>
      <c r="F613" s="53">
        <f t="shared" si="7"/>
        <v>106000000</v>
      </c>
    </row>
    <row r="614" spans="1:6" s="10" customFormat="1" ht="31.5">
      <c r="A614" s="18" t="s">
        <v>541</v>
      </c>
      <c r="B614" s="14" t="s">
        <v>401</v>
      </c>
      <c r="C614" s="14">
        <v>600</v>
      </c>
      <c r="D614" s="26">
        <f>D615</f>
        <v>106000000</v>
      </c>
      <c r="E614" s="26">
        <f>E615</f>
        <v>0</v>
      </c>
      <c r="F614" s="53">
        <f aca="true" t="shared" si="8" ref="F614:F677">SUM(D614:E614)</f>
        <v>106000000</v>
      </c>
    </row>
    <row r="615" spans="1:6" s="10" customFormat="1" ht="16.5">
      <c r="A615" s="18" t="s">
        <v>542</v>
      </c>
      <c r="B615" s="14" t="s">
        <v>401</v>
      </c>
      <c r="C615" s="14">
        <v>610</v>
      </c>
      <c r="D615" s="26">
        <v>106000000</v>
      </c>
      <c r="E615" s="26">
        <v>0</v>
      </c>
      <c r="F615" s="53">
        <f t="shared" si="8"/>
        <v>106000000</v>
      </c>
    </row>
    <row r="616" spans="1:6" s="10" customFormat="1" ht="126">
      <c r="A616" s="35" t="s">
        <v>402</v>
      </c>
      <c r="B616" s="16" t="s">
        <v>403</v>
      </c>
      <c r="C616" s="16"/>
      <c r="D616" s="55">
        <f>D617</f>
        <v>21346590.66</v>
      </c>
      <c r="E616" s="55">
        <f>E617</f>
        <v>0</v>
      </c>
      <c r="F616" s="53">
        <f t="shared" si="8"/>
        <v>21346590.66</v>
      </c>
    </row>
    <row r="617" spans="1:6" s="10" customFormat="1" ht="31.5">
      <c r="A617" s="21" t="s">
        <v>7</v>
      </c>
      <c r="B617" s="16" t="s">
        <v>403</v>
      </c>
      <c r="C617" s="16">
        <v>200</v>
      </c>
      <c r="D617" s="55">
        <f>D618</f>
        <v>21346590.66</v>
      </c>
      <c r="E617" s="55">
        <f>E618</f>
        <v>0</v>
      </c>
      <c r="F617" s="53">
        <f t="shared" si="8"/>
        <v>21346590.66</v>
      </c>
    </row>
    <row r="618" spans="1:6" s="10" customFormat="1" ht="31.5">
      <c r="A618" s="21" t="s">
        <v>8</v>
      </c>
      <c r="B618" s="16" t="s">
        <v>403</v>
      </c>
      <c r="C618" s="16">
        <v>240</v>
      </c>
      <c r="D618" s="55">
        <f>597704.54+20748886.12</f>
        <v>21346590.66</v>
      </c>
      <c r="E618" s="55">
        <v>0</v>
      </c>
      <c r="F618" s="53">
        <f t="shared" si="8"/>
        <v>21346590.66</v>
      </c>
    </row>
    <row r="619" spans="1:6" s="10" customFormat="1" ht="31.5">
      <c r="A619" s="11" t="s">
        <v>404</v>
      </c>
      <c r="B619" s="12" t="s">
        <v>405</v>
      </c>
      <c r="C619" s="12"/>
      <c r="D619" s="52">
        <f>SUM(D620,D623)</f>
        <v>1800000</v>
      </c>
      <c r="E619" s="52">
        <f>SUM(E620,E623)</f>
        <v>0</v>
      </c>
      <c r="F619" s="52">
        <f t="shared" si="8"/>
        <v>1800000</v>
      </c>
    </row>
    <row r="620" spans="1:6" s="10" customFormat="1" ht="16.5">
      <c r="A620" s="18" t="s">
        <v>406</v>
      </c>
      <c r="B620" s="14" t="s">
        <v>407</v>
      </c>
      <c r="C620" s="14"/>
      <c r="D620" s="53">
        <f>D621</f>
        <v>1000000</v>
      </c>
      <c r="E620" s="53">
        <f>E621</f>
        <v>0</v>
      </c>
      <c r="F620" s="53">
        <f t="shared" si="8"/>
        <v>1000000</v>
      </c>
    </row>
    <row r="621" spans="1:6" s="10" customFormat="1" ht="31.5">
      <c r="A621" s="20" t="s">
        <v>541</v>
      </c>
      <c r="B621" s="14" t="s">
        <v>407</v>
      </c>
      <c r="C621" s="14">
        <v>600</v>
      </c>
      <c r="D621" s="53">
        <f>D622</f>
        <v>1000000</v>
      </c>
      <c r="E621" s="53">
        <f>E622</f>
        <v>0</v>
      </c>
      <c r="F621" s="53">
        <f t="shared" si="8"/>
        <v>1000000</v>
      </c>
    </row>
    <row r="622" spans="1:6" s="10" customFormat="1" ht="31.5">
      <c r="A622" s="18" t="s">
        <v>543</v>
      </c>
      <c r="B622" s="14" t="s">
        <v>407</v>
      </c>
      <c r="C622" s="14">
        <v>630</v>
      </c>
      <c r="D622" s="53">
        <v>1000000</v>
      </c>
      <c r="E622" s="53">
        <v>0</v>
      </c>
      <c r="F622" s="53">
        <f t="shared" si="8"/>
        <v>1000000</v>
      </c>
    </row>
    <row r="623" spans="1:6" s="10" customFormat="1" ht="47.25">
      <c r="A623" s="20" t="s">
        <v>408</v>
      </c>
      <c r="B623" s="14" t="s">
        <v>409</v>
      </c>
      <c r="C623" s="14"/>
      <c r="D623" s="53">
        <f>D624</f>
        <v>800000</v>
      </c>
      <c r="E623" s="53">
        <f>E624</f>
        <v>0</v>
      </c>
      <c r="F623" s="53">
        <f t="shared" si="8"/>
        <v>800000</v>
      </c>
    </row>
    <row r="624" spans="1:6" s="10" customFormat="1" ht="31.5">
      <c r="A624" s="20" t="s">
        <v>541</v>
      </c>
      <c r="B624" s="14" t="s">
        <v>409</v>
      </c>
      <c r="C624" s="14">
        <v>600</v>
      </c>
      <c r="D624" s="53">
        <f>D625</f>
        <v>800000</v>
      </c>
      <c r="E624" s="53">
        <f>E625</f>
        <v>0</v>
      </c>
      <c r="F624" s="53">
        <f t="shared" si="8"/>
        <v>800000</v>
      </c>
    </row>
    <row r="625" spans="1:6" s="10" customFormat="1" ht="31.5">
      <c r="A625" s="18" t="s">
        <v>543</v>
      </c>
      <c r="B625" s="14" t="s">
        <v>409</v>
      </c>
      <c r="C625" s="14">
        <v>630</v>
      </c>
      <c r="D625" s="53">
        <v>800000</v>
      </c>
      <c r="E625" s="53">
        <v>0</v>
      </c>
      <c r="F625" s="53">
        <f t="shared" si="8"/>
        <v>800000</v>
      </c>
    </row>
    <row r="626" spans="1:6" s="10" customFormat="1" ht="47.25">
      <c r="A626" s="34" t="s">
        <v>410</v>
      </c>
      <c r="B626" s="12" t="s">
        <v>411</v>
      </c>
      <c r="C626" s="12"/>
      <c r="D626" s="52">
        <f aca="true" t="shared" si="9" ref="D626:E628">D627</f>
        <v>25000</v>
      </c>
      <c r="E626" s="52">
        <f t="shared" si="9"/>
        <v>0</v>
      </c>
      <c r="F626" s="52">
        <f t="shared" si="8"/>
        <v>25000</v>
      </c>
    </row>
    <row r="627" spans="1:6" s="10" customFormat="1" ht="78.75">
      <c r="A627" s="20" t="s">
        <v>412</v>
      </c>
      <c r="B627" s="14" t="s">
        <v>413</v>
      </c>
      <c r="C627" s="14"/>
      <c r="D627" s="53">
        <f t="shared" si="9"/>
        <v>25000</v>
      </c>
      <c r="E627" s="53">
        <f t="shared" si="9"/>
        <v>0</v>
      </c>
      <c r="F627" s="53">
        <f t="shared" si="8"/>
        <v>25000</v>
      </c>
    </row>
    <row r="628" spans="1:6" s="10" customFormat="1" ht="31.5">
      <c r="A628" s="20" t="s">
        <v>7</v>
      </c>
      <c r="B628" s="14" t="s">
        <v>413</v>
      </c>
      <c r="C628" s="14">
        <v>200</v>
      </c>
      <c r="D628" s="53">
        <f t="shared" si="9"/>
        <v>25000</v>
      </c>
      <c r="E628" s="53">
        <f t="shared" si="9"/>
        <v>0</v>
      </c>
      <c r="F628" s="53">
        <f t="shared" si="8"/>
        <v>25000</v>
      </c>
    </row>
    <row r="629" spans="1:6" s="10" customFormat="1" ht="31.5">
      <c r="A629" s="20" t="s">
        <v>8</v>
      </c>
      <c r="B629" s="14" t="s">
        <v>413</v>
      </c>
      <c r="C629" s="14">
        <v>240</v>
      </c>
      <c r="D629" s="26">
        <v>25000</v>
      </c>
      <c r="E629" s="26">
        <v>0</v>
      </c>
      <c r="F629" s="53">
        <f t="shared" si="8"/>
        <v>25000</v>
      </c>
    </row>
    <row r="630" spans="1:6" s="10" customFormat="1" ht="16.5">
      <c r="A630" s="36" t="s">
        <v>414</v>
      </c>
      <c r="B630" s="12" t="s">
        <v>415</v>
      </c>
      <c r="C630" s="12"/>
      <c r="D630" s="52">
        <f>D631+D686+D698+D744+D769+D773</f>
        <v>717662024.8199999</v>
      </c>
      <c r="E630" s="52">
        <f>E631+E686+E698+E744+E769+E773</f>
        <v>138258671.79000002</v>
      </c>
      <c r="F630" s="52">
        <f t="shared" si="8"/>
        <v>855920696.6099999</v>
      </c>
    </row>
    <row r="631" spans="1:6" s="10" customFormat="1" ht="31.5">
      <c r="A631" s="18" t="s">
        <v>416</v>
      </c>
      <c r="B631" s="14" t="s">
        <v>417</v>
      </c>
      <c r="C631" s="14"/>
      <c r="D631" s="53">
        <f>SUM(D635,D638,D643,D650,D657,D664,D671,D678,D681,D632)</f>
        <v>326418934.51</v>
      </c>
      <c r="E631" s="53">
        <f>SUM(E635,E638,E643,E650,E657,E664,E671,E678,E681,E632)</f>
        <v>9439884</v>
      </c>
      <c r="F631" s="53">
        <f t="shared" si="8"/>
        <v>335858818.51</v>
      </c>
    </row>
    <row r="632" spans="1:6" s="10" customFormat="1" ht="47.25">
      <c r="A632" s="18" t="s">
        <v>418</v>
      </c>
      <c r="B632" s="14" t="s">
        <v>419</v>
      </c>
      <c r="C632" s="14"/>
      <c r="D632" s="53">
        <f>D633</f>
        <v>2140488</v>
      </c>
      <c r="E632" s="53">
        <f>E633</f>
        <v>0</v>
      </c>
      <c r="F632" s="53">
        <f t="shared" si="8"/>
        <v>2140488</v>
      </c>
    </row>
    <row r="633" spans="1:6" s="10" customFormat="1" ht="78.75">
      <c r="A633" s="30" t="s">
        <v>66</v>
      </c>
      <c r="B633" s="14" t="s">
        <v>419</v>
      </c>
      <c r="C633" s="24" t="s">
        <v>67</v>
      </c>
      <c r="D633" s="53">
        <f>D634</f>
        <v>2140488</v>
      </c>
      <c r="E633" s="53">
        <f>E634</f>
        <v>0</v>
      </c>
      <c r="F633" s="53">
        <f t="shared" si="8"/>
        <v>2140488</v>
      </c>
    </row>
    <row r="634" spans="1:6" s="10" customFormat="1" ht="31.5">
      <c r="A634" s="30" t="s">
        <v>68</v>
      </c>
      <c r="B634" s="14" t="s">
        <v>419</v>
      </c>
      <c r="C634" s="24" t="s">
        <v>69</v>
      </c>
      <c r="D634" s="53">
        <v>2140488</v>
      </c>
      <c r="E634" s="53">
        <v>0</v>
      </c>
      <c r="F634" s="53">
        <f t="shared" si="8"/>
        <v>2140488</v>
      </c>
    </row>
    <row r="635" spans="1:6" s="10" customFormat="1" ht="16.5">
      <c r="A635" s="21" t="s">
        <v>420</v>
      </c>
      <c r="B635" s="16" t="s">
        <v>421</v>
      </c>
      <c r="C635" s="24"/>
      <c r="D635" s="54">
        <f>D636</f>
        <v>446519</v>
      </c>
      <c r="E635" s="54">
        <f>E636</f>
        <v>0</v>
      </c>
      <c r="F635" s="53">
        <f t="shared" si="8"/>
        <v>446519</v>
      </c>
    </row>
    <row r="636" spans="1:6" s="10" customFormat="1" ht="31.5">
      <c r="A636" s="21" t="s">
        <v>7</v>
      </c>
      <c r="B636" s="16" t="s">
        <v>421</v>
      </c>
      <c r="C636" s="24" t="s">
        <v>70</v>
      </c>
      <c r="D636" s="55">
        <f>D637</f>
        <v>446519</v>
      </c>
      <c r="E636" s="55">
        <f>E637</f>
        <v>0</v>
      </c>
      <c r="F636" s="53">
        <f t="shared" si="8"/>
        <v>446519</v>
      </c>
    </row>
    <row r="637" spans="1:6" s="10" customFormat="1" ht="31.5">
      <c r="A637" s="21" t="s">
        <v>8</v>
      </c>
      <c r="B637" s="16" t="s">
        <v>421</v>
      </c>
      <c r="C637" s="24" t="s">
        <v>71</v>
      </c>
      <c r="D637" s="55">
        <v>446519</v>
      </c>
      <c r="E637" s="55">
        <v>0</v>
      </c>
      <c r="F637" s="53">
        <f t="shared" si="8"/>
        <v>446519</v>
      </c>
    </row>
    <row r="638" spans="1:6" s="10" customFormat="1" ht="31.5">
      <c r="A638" s="21" t="s">
        <v>422</v>
      </c>
      <c r="B638" s="16" t="s">
        <v>423</v>
      </c>
      <c r="C638" s="24"/>
      <c r="D638" s="55">
        <f>SUM(D639,D641)</f>
        <v>6523103</v>
      </c>
      <c r="E638" s="55">
        <f>SUM(E639,E641)</f>
        <v>16650</v>
      </c>
      <c r="F638" s="53">
        <f t="shared" si="8"/>
        <v>6539753</v>
      </c>
    </row>
    <row r="639" spans="1:6" s="10" customFormat="1" ht="78.75">
      <c r="A639" s="30" t="s">
        <v>66</v>
      </c>
      <c r="B639" s="16" t="s">
        <v>423</v>
      </c>
      <c r="C639" s="24" t="s">
        <v>67</v>
      </c>
      <c r="D639" s="55">
        <f>D640</f>
        <v>5840000</v>
      </c>
      <c r="E639" s="55">
        <f>E640</f>
        <v>0</v>
      </c>
      <c r="F639" s="53">
        <f t="shared" si="8"/>
        <v>5840000</v>
      </c>
    </row>
    <row r="640" spans="1:6" s="10" customFormat="1" ht="31.5">
      <c r="A640" s="30" t="s">
        <v>68</v>
      </c>
      <c r="B640" s="16" t="s">
        <v>423</v>
      </c>
      <c r="C640" s="24" t="s">
        <v>69</v>
      </c>
      <c r="D640" s="55">
        <v>5840000</v>
      </c>
      <c r="E640" s="55">
        <v>0</v>
      </c>
      <c r="F640" s="53">
        <f t="shared" si="8"/>
        <v>5840000</v>
      </c>
    </row>
    <row r="641" spans="1:6" s="10" customFormat="1" ht="31.5">
      <c r="A641" s="21" t="s">
        <v>7</v>
      </c>
      <c r="B641" s="16" t="s">
        <v>423</v>
      </c>
      <c r="C641" s="24" t="s">
        <v>70</v>
      </c>
      <c r="D641" s="54">
        <f>D642</f>
        <v>683103</v>
      </c>
      <c r="E641" s="54">
        <f>E642</f>
        <v>16650</v>
      </c>
      <c r="F641" s="53">
        <f t="shared" si="8"/>
        <v>699753</v>
      </c>
    </row>
    <row r="642" spans="1:6" s="10" customFormat="1" ht="31.5">
      <c r="A642" s="21" t="s">
        <v>8</v>
      </c>
      <c r="B642" s="16" t="s">
        <v>423</v>
      </c>
      <c r="C642" s="24" t="s">
        <v>71</v>
      </c>
      <c r="D642" s="54">
        <v>683103</v>
      </c>
      <c r="E642" s="54">
        <v>16650</v>
      </c>
      <c r="F642" s="53">
        <f t="shared" si="8"/>
        <v>699753</v>
      </c>
    </row>
    <row r="643" spans="1:6" s="10" customFormat="1" ht="31.5">
      <c r="A643" s="18" t="s">
        <v>424</v>
      </c>
      <c r="B643" s="14" t="s">
        <v>425</v>
      </c>
      <c r="C643" s="14"/>
      <c r="D643" s="53">
        <f>SUM(D644,D646,D648)</f>
        <v>40577925</v>
      </c>
      <c r="E643" s="53">
        <f>SUM(E644,E646,E648)</f>
        <v>4863234</v>
      </c>
      <c r="F643" s="53">
        <f t="shared" si="8"/>
        <v>45441159</v>
      </c>
    </row>
    <row r="644" spans="1:6" s="10" customFormat="1" ht="78.75">
      <c r="A644" s="22" t="s">
        <v>66</v>
      </c>
      <c r="B644" s="14" t="s">
        <v>425</v>
      </c>
      <c r="C644" s="23" t="s">
        <v>67</v>
      </c>
      <c r="D644" s="53">
        <f>D645</f>
        <v>36521925</v>
      </c>
      <c r="E644" s="53">
        <f>E645</f>
        <v>5903034</v>
      </c>
      <c r="F644" s="53">
        <f t="shared" si="8"/>
        <v>42424959</v>
      </c>
    </row>
    <row r="645" spans="1:6" s="10" customFormat="1" ht="31.5">
      <c r="A645" s="22" t="s">
        <v>68</v>
      </c>
      <c r="B645" s="14" t="s">
        <v>425</v>
      </c>
      <c r="C645" s="23" t="s">
        <v>69</v>
      </c>
      <c r="D645" s="53">
        <v>36521925</v>
      </c>
      <c r="E645" s="26">
        <f>338000+611000+90800+4863234</f>
        <v>5903034</v>
      </c>
      <c r="F645" s="53">
        <f t="shared" si="8"/>
        <v>42424959</v>
      </c>
    </row>
    <row r="646" spans="1:6" s="10" customFormat="1" ht="31.5">
      <c r="A646" s="20" t="s">
        <v>7</v>
      </c>
      <c r="B646" s="14" t="s">
        <v>425</v>
      </c>
      <c r="C646" s="23" t="s">
        <v>70</v>
      </c>
      <c r="D646" s="53">
        <f>D647</f>
        <v>4046000</v>
      </c>
      <c r="E646" s="26">
        <f>E647</f>
        <v>-1039800</v>
      </c>
      <c r="F646" s="53">
        <f t="shared" si="8"/>
        <v>3006200</v>
      </c>
    </row>
    <row r="647" spans="1:6" s="10" customFormat="1" ht="31.5">
      <c r="A647" s="20" t="s">
        <v>8</v>
      </c>
      <c r="B647" s="14" t="s">
        <v>425</v>
      </c>
      <c r="C647" s="23" t="s">
        <v>71</v>
      </c>
      <c r="D647" s="53">
        <v>4046000</v>
      </c>
      <c r="E647" s="26">
        <f>-338000-611000-90800</f>
        <v>-1039800</v>
      </c>
      <c r="F647" s="53">
        <f t="shared" si="8"/>
        <v>3006200</v>
      </c>
    </row>
    <row r="648" spans="1:6" s="10" customFormat="1" ht="16.5">
      <c r="A648" s="20" t="s">
        <v>544</v>
      </c>
      <c r="B648" s="14" t="s">
        <v>425</v>
      </c>
      <c r="C648" s="23" t="s">
        <v>72</v>
      </c>
      <c r="D648" s="53">
        <f>D649</f>
        <v>10000</v>
      </c>
      <c r="E648" s="53">
        <f>E649</f>
        <v>0</v>
      </c>
      <c r="F648" s="53">
        <f t="shared" si="8"/>
        <v>10000</v>
      </c>
    </row>
    <row r="649" spans="1:6" s="10" customFormat="1" ht="16.5">
      <c r="A649" s="20" t="s">
        <v>73</v>
      </c>
      <c r="B649" s="14" t="s">
        <v>425</v>
      </c>
      <c r="C649" s="23" t="s">
        <v>74</v>
      </c>
      <c r="D649" s="53">
        <v>10000</v>
      </c>
      <c r="E649" s="53">
        <v>0</v>
      </c>
      <c r="F649" s="53">
        <f t="shared" si="8"/>
        <v>10000</v>
      </c>
    </row>
    <row r="650" spans="1:6" s="10" customFormat="1" ht="31.5">
      <c r="A650" s="18" t="s">
        <v>426</v>
      </c>
      <c r="B650" s="14" t="s">
        <v>427</v>
      </c>
      <c r="C650" s="14"/>
      <c r="D650" s="53">
        <f>SUM(D651,D653,D655)</f>
        <v>14350490</v>
      </c>
      <c r="E650" s="53">
        <f>SUM(E651,E653,E655)</f>
        <v>0</v>
      </c>
      <c r="F650" s="53">
        <f t="shared" si="8"/>
        <v>14350490</v>
      </c>
    </row>
    <row r="651" spans="1:6" s="10" customFormat="1" ht="78.75">
      <c r="A651" s="22" t="s">
        <v>66</v>
      </c>
      <c r="B651" s="14" t="s">
        <v>427</v>
      </c>
      <c r="C651" s="23" t="s">
        <v>67</v>
      </c>
      <c r="D651" s="26">
        <f>D652</f>
        <v>11423650</v>
      </c>
      <c r="E651" s="26">
        <f>E652</f>
        <v>15000</v>
      </c>
      <c r="F651" s="53">
        <f t="shared" si="8"/>
        <v>11438650</v>
      </c>
    </row>
    <row r="652" spans="1:6" s="10" customFormat="1" ht="31.5">
      <c r="A652" s="22" t="s">
        <v>68</v>
      </c>
      <c r="B652" s="14" t="s">
        <v>427</v>
      </c>
      <c r="C652" s="23" t="s">
        <v>69</v>
      </c>
      <c r="D652" s="26">
        <v>11423650</v>
      </c>
      <c r="E652" s="26">
        <v>15000</v>
      </c>
      <c r="F652" s="53">
        <f t="shared" si="8"/>
        <v>11438650</v>
      </c>
    </row>
    <row r="653" spans="1:6" s="10" customFormat="1" ht="31.5">
      <c r="A653" s="20" t="s">
        <v>7</v>
      </c>
      <c r="B653" s="14" t="s">
        <v>427</v>
      </c>
      <c r="C653" s="23" t="s">
        <v>70</v>
      </c>
      <c r="D653" s="26">
        <f>D654</f>
        <v>2876840</v>
      </c>
      <c r="E653" s="26">
        <f>E654</f>
        <v>0</v>
      </c>
      <c r="F653" s="53">
        <f t="shared" si="8"/>
        <v>2876840</v>
      </c>
    </row>
    <row r="654" spans="1:6" s="10" customFormat="1" ht="31.5">
      <c r="A654" s="20" t="s">
        <v>8</v>
      </c>
      <c r="B654" s="14" t="s">
        <v>427</v>
      </c>
      <c r="C654" s="23" t="s">
        <v>71</v>
      </c>
      <c r="D654" s="26">
        <v>2876840</v>
      </c>
      <c r="E654" s="26">
        <v>0</v>
      </c>
      <c r="F654" s="53">
        <f t="shared" si="8"/>
        <v>2876840</v>
      </c>
    </row>
    <row r="655" spans="1:6" s="10" customFormat="1" ht="16.5">
      <c r="A655" s="20" t="s">
        <v>544</v>
      </c>
      <c r="B655" s="14" t="s">
        <v>427</v>
      </c>
      <c r="C655" s="23" t="s">
        <v>72</v>
      </c>
      <c r="D655" s="26">
        <f>D656</f>
        <v>50000</v>
      </c>
      <c r="E655" s="26">
        <f>E656</f>
        <v>-15000</v>
      </c>
      <c r="F655" s="53">
        <f t="shared" si="8"/>
        <v>35000</v>
      </c>
    </row>
    <row r="656" spans="1:6" s="10" customFormat="1" ht="16.5">
      <c r="A656" s="20" t="s">
        <v>73</v>
      </c>
      <c r="B656" s="14" t="s">
        <v>427</v>
      </c>
      <c r="C656" s="23" t="s">
        <v>74</v>
      </c>
      <c r="D656" s="26">
        <v>50000</v>
      </c>
      <c r="E656" s="26">
        <v>-15000</v>
      </c>
      <c r="F656" s="53">
        <f t="shared" si="8"/>
        <v>35000</v>
      </c>
    </row>
    <row r="657" spans="1:6" s="37" customFormat="1" ht="34.5" customHeight="1">
      <c r="A657" s="18" t="s">
        <v>428</v>
      </c>
      <c r="B657" s="14" t="s">
        <v>429</v>
      </c>
      <c r="C657" s="14"/>
      <c r="D657" s="53">
        <f>SUM(D658,D660,D662)</f>
        <v>193223705.51</v>
      </c>
      <c r="E657" s="53">
        <f>SUM(E658,E660,E662)</f>
        <v>2560000</v>
      </c>
      <c r="F657" s="53">
        <f t="shared" si="8"/>
        <v>195783705.51</v>
      </c>
    </row>
    <row r="658" spans="1:6" s="37" customFormat="1" ht="78.75">
      <c r="A658" s="22" t="s">
        <v>66</v>
      </c>
      <c r="B658" s="14" t="s">
        <v>429</v>
      </c>
      <c r="C658" s="23" t="s">
        <v>67</v>
      </c>
      <c r="D658" s="53">
        <f>D659</f>
        <v>184394000</v>
      </c>
      <c r="E658" s="53">
        <f>E659</f>
        <v>0</v>
      </c>
      <c r="F658" s="53">
        <f t="shared" si="8"/>
        <v>184394000</v>
      </c>
    </row>
    <row r="659" spans="1:6" s="37" customFormat="1" ht="31.5">
      <c r="A659" s="22" t="s">
        <v>68</v>
      </c>
      <c r="B659" s="14" t="s">
        <v>429</v>
      </c>
      <c r="C659" s="23" t="s">
        <v>69</v>
      </c>
      <c r="D659" s="53">
        <v>184394000</v>
      </c>
      <c r="E659" s="53">
        <v>0</v>
      </c>
      <c r="F659" s="53">
        <f t="shared" si="8"/>
        <v>184394000</v>
      </c>
    </row>
    <row r="660" spans="1:6" s="37" customFormat="1" ht="31.5">
      <c r="A660" s="20" t="s">
        <v>7</v>
      </c>
      <c r="B660" s="14" t="s">
        <v>429</v>
      </c>
      <c r="C660" s="23" t="s">
        <v>70</v>
      </c>
      <c r="D660" s="53">
        <f>D661</f>
        <v>8729705.51</v>
      </c>
      <c r="E660" s="53">
        <f>E661</f>
        <v>2560000</v>
      </c>
      <c r="F660" s="53">
        <f t="shared" si="8"/>
        <v>11289705.51</v>
      </c>
    </row>
    <row r="661" spans="1:6" s="37" customFormat="1" ht="31.5">
      <c r="A661" s="20" t="s">
        <v>430</v>
      </c>
      <c r="B661" s="14" t="s">
        <v>429</v>
      </c>
      <c r="C661" s="23" t="s">
        <v>71</v>
      </c>
      <c r="D661" s="53">
        <v>8729705.51</v>
      </c>
      <c r="E661" s="53">
        <f>560000+2000000</f>
        <v>2560000</v>
      </c>
      <c r="F661" s="53">
        <f t="shared" si="8"/>
        <v>11289705.51</v>
      </c>
    </row>
    <row r="662" spans="1:6" s="37" customFormat="1" ht="16.5">
      <c r="A662" s="20" t="s">
        <v>544</v>
      </c>
      <c r="B662" s="14" t="s">
        <v>429</v>
      </c>
      <c r="C662" s="23" t="s">
        <v>72</v>
      </c>
      <c r="D662" s="53">
        <f>D663</f>
        <v>100000</v>
      </c>
      <c r="E662" s="53">
        <f>E663</f>
        <v>0</v>
      </c>
      <c r="F662" s="53">
        <f t="shared" si="8"/>
        <v>100000</v>
      </c>
    </row>
    <row r="663" spans="1:6" s="10" customFormat="1" ht="16.5">
      <c r="A663" s="20" t="s">
        <v>73</v>
      </c>
      <c r="B663" s="14" t="s">
        <v>429</v>
      </c>
      <c r="C663" s="23" t="s">
        <v>74</v>
      </c>
      <c r="D663" s="53">
        <v>100000</v>
      </c>
      <c r="E663" s="53">
        <v>0</v>
      </c>
      <c r="F663" s="53">
        <f t="shared" si="8"/>
        <v>100000</v>
      </c>
    </row>
    <row r="664" spans="1:6" s="10" customFormat="1" ht="31.5">
      <c r="A664" s="18" t="s">
        <v>431</v>
      </c>
      <c r="B664" s="14" t="s">
        <v>432</v>
      </c>
      <c r="C664" s="14"/>
      <c r="D664" s="53">
        <f>SUM(D665,D667,D669)</f>
        <v>33025000</v>
      </c>
      <c r="E664" s="53">
        <f>SUM(E665,E667,E669)</f>
        <v>0</v>
      </c>
      <c r="F664" s="53">
        <f t="shared" si="8"/>
        <v>33025000</v>
      </c>
    </row>
    <row r="665" spans="1:6" s="10" customFormat="1" ht="78.75">
      <c r="A665" s="22" t="s">
        <v>66</v>
      </c>
      <c r="B665" s="14" t="s">
        <v>432</v>
      </c>
      <c r="C665" s="23" t="s">
        <v>67</v>
      </c>
      <c r="D665" s="53">
        <f>D666</f>
        <v>29275000</v>
      </c>
      <c r="E665" s="53">
        <f>E666</f>
        <v>0</v>
      </c>
      <c r="F665" s="53">
        <f t="shared" si="8"/>
        <v>29275000</v>
      </c>
    </row>
    <row r="666" spans="1:6" s="10" customFormat="1" ht="31.5">
      <c r="A666" s="22" t="s">
        <v>68</v>
      </c>
      <c r="B666" s="14" t="s">
        <v>432</v>
      </c>
      <c r="C666" s="23" t="s">
        <v>69</v>
      </c>
      <c r="D666" s="53">
        <v>29275000</v>
      </c>
      <c r="E666" s="53">
        <v>0</v>
      </c>
      <c r="F666" s="53">
        <f t="shared" si="8"/>
        <v>29275000</v>
      </c>
    </row>
    <row r="667" spans="1:6" s="10" customFormat="1" ht="31.5">
      <c r="A667" s="20" t="s">
        <v>7</v>
      </c>
      <c r="B667" s="14" t="s">
        <v>432</v>
      </c>
      <c r="C667" s="23" t="s">
        <v>70</v>
      </c>
      <c r="D667" s="53">
        <f>D668</f>
        <v>3700000</v>
      </c>
      <c r="E667" s="53">
        <f>E668</f>
        <v>0</v>
      </c>
      <c r="F667" s="53">
        <f t="shared" si="8"/>
        <v>3700000</v>
      </c>
    </row>
    <row r="668" spans="1:6" s="10" customFormat="1" ht="31.5">
      <c r="A668" s="20" t="s">
        <v>8</v>
      </c>
      <c r="B668" s="14" t="s">
        <v>432</v>
      </c>
      <c r="C668" s="23" t="s">
        <v>71</v>
      </c>
      <c r="D668" s="53">
        <v>3700000</v>
      </c>
      <c r="E668" s="53">
        <v>0</v>
      </c>
      <c r="F668" s="53">
        <f t="shared" si="8"/>
        <v>3700000</v>
      </c>
    </row>
    <row r="669" spans="1:6" s="10" customFormat="1" ht="16.5">
      <c r="A669" s="20" t="s">
        <v>544</v>
      </c>
      <c r="B669" s="14" t="s">
        <v>432</v>
      </c>
      <c r="C669" s="23" t="s">
        <v>72</v>
      </c>
      <c r="D669" s="53">
        <f>D670</f>
        <v>50000</v>
      </c>
      <c r="E669" s="53">
        <f>E670</f>
        <v>0</v>
      </c>
      <c r="F669" s="53">
        <f t="shared" si="8"/>
        <v>50000</v>
      </c>
    </row>
    <row r="670" spans="1:6" s="10" customFormat="1" ht="16.5">
      <c r="A670" s="20" t="s">
        <v>73</v>
      </c>
      <c r="B670" s="14" t="s">
        <v>432</v>
      </c>
      <c r="C670" s="23" t="s">
        <v>74</v>
      </c>
      <c r="D670" s="53">
        <v>50000</v>
      </c>
      <c r="E670" s="53">
        <v>0</v>
      </c>
      <c r="F670" s="53">
        <f t="shared" si="8"/>
        <v>50000</v>
      </c>
    </row>
    <row r="671" spans="1:6" s="10" customFormat="1" ht="33" customHeight="1">
      <c r="A671" s="20" t="s">
        <v>433</v>
      </c>
      <c r="B671" s="14" t="s">
        <v>434</v>
      </c>
      <c r="C671" s="14"/>
      <c r="D671" s="53">
        <f>D672+D674+D676</f>
        <v>31522000</v>
      </c>
      <c r="E671" s="53">
        <f>E672+E674+E676</f>
        <v>2000000</v>
      </c>
      <c r="F671" s="53">
        <f t="shared" si="8"/>
        <v>33522000</v>
      </c>
    </row>
    <row r="672" spans="1:6" s="10" customFormat="1" ht="78.75">
      <c r="A672" s="22" t="s">
        <v>66</v>
      </c>
      <c r="B672" s="14" t="s">
        <v>434</v>
      </c>
      <c r="C672" s="14">
        <v>100</v>
      </c>
      <c r="D672" s="53">
        <f>D673</f>
        <v>21500000</v>
      </c>
      <c r="E672" s="53">
        <f>E673</f>
        <v>-681000</v>
      </c>
      <c r="F672" s="53">
        <f t="shared" si="8"/>
        <v>20819000</v>
      </c>
    </row>
    <row r="673" spans="1:6" s="10" customFormat="1" ht="31.5">
      <c r="A673" s="22" t="s">
        <v>68</v>
      </c>
      <c r="B673" s="14" t="s">
        <v>434</v>
      </c>
      <c r="C673" s="14">
        <v>120</v>
      </c>
      <c r="D673" s="53">
        <v>21500000</v>
      </c>
      <c r="E673" s="53">
        <f>-531000-150000</f>
        <v>-681000</v>
      </c>
      <c r="F673" s="53">
        <f t="shared" si="8"/>
        <v>20819000</v>
      </c>
    </row>
    <row r="674" spans="1:6" s="10" customFormat="1" ht="31.5">
      <c r="A674" s="20" t="s">
        <v>7</v>
      </c>
      <c r="B674" s="14" t="s">
        <v>434</v>
      </c>
      <c r="C674" s="14">
        <v>200</v>
      </c>
      <c r="D674" s="53">
        <f>D675</f>
        <v>10000000</v>
      </c>
      <c r="E674" s="53">
        <f>E675</f>
        <v>2681000</v>
      </c>
      <c r="F674" s="53">
        <f t="shared" si="8"/>
        <v>12681000</v>
      </c>
    </row>
    <row r="675" spans="1:6" s="37" customFormat="1" ht="31.5">
      <c r="A675" s="20" t="s">
        <v>8</v>
      </c>
      <c r="B675" s="14" t="s">
        <v>434</v>
      </c>
      <c r="C675" s="14">
        <v>240</v>
      </c>
      <c r="D675" s="53">
        <v>10000000</v>
      </c>
      <c r="E675" s="53">
        <f>531000+150000+2000000</f>
        <v>2681000</v>
      </c>
      <c r="F675" s="53">
        <f t="shared" si="8"/>
        <v>12681000</v>
      </c>
    </row>
    <row r="676" spans="1:6" s="10" customFormat="1" ht="16.5">
      <c r="A676" s="20" t="s">
        <v>544</v>
      </c>
      <c r="B676" s="14" t="s">
        <v>434</v>
      </c>
      <c r="C676" s="14">
        <v>800</v>
      </c>
      <c r="D676" s="53">
        <f>D677</f>
        <v>22000</v>
      </c>
      <c r="E676" s="53">
        <f>E677</f>
        <v>0</v>
      </c>
      <c r="F676" s="53">
        <f t="shared" si="8"/>
        <v>22000</v>
      </c>
    </row>
    <row r="677" spans="1:6" s="10" customFormat="1" ht="16.5">
      <c r="A677" s="20" t="s">
        <v>73</v>
      </c>
      <c r="B677" s="14" t="s">
        <v>434</v>
      </c>
      <c r="C677" s="14">
        <v>850</v>
      </c>
      <c r="D677" s="53">
        <v>22000</v>
      </c>
      <c r="E677" s="53">
        <v>0</v>
      </c>
      <c r="F677" s="53">
        <f t="shared" si="8"/>
        <v>22000</v>
      </c>
    </row>
    <row r="678" spans="1:6" s="10" customFormat="1" ht="47.25">
      <c r="A678" s="17" t="s">
        <v>435</v>
      </c>
      <c r="B678" s="16" t="s">
        <v>436</v>
      </c>
      <c r="C678" s="16"/>
      <c r="D678" s="54">
        <f>D679</f>
        <v>30904</v>
      </c>
      <c r="E678" s="54">
        <f>E679</f>
        <v>0</v>
      </c>
      <c r="F678" s="53">
        <f aca="true" t="shared" si="10" ref="F678:F741">SUM(D678:E678)</f>
        <v>30904</v>
      </c>
    </row>
    <row r="679" spans="1:6" s="10" customFormat="1" ht="78.75">
      <c r="A679" s="30" t="s">
        <v>66</v>
      </c>
      <c r="B679" s="16" t="s">
        <v>436</v>
      </c>
      <c r="C679" s="24" t="s">
        <v>67</v>
      </c>
      <c r="D679" s="54">
        <f>D680</f>
        <v>30904</v>
      </c>
      <c r="E679" s="54">
        <f>E680</f>
        <v>0</v>
      </c>
      <c r="F679" s="53">
        <f t="shared" si="10"/>
        <v>30904</v>
      </c>
    </row>
    <row r="680" spans="1:6" s="10" customFormat="1" ht="31.5">
      <c r="A680" s="30" t="s">
        <v>68</v>
      </c>
      <c r="B680" s="16" t="s">
        <v>436</v>
      </c>
      <c r="C680" s="24" t="s">
        <v>69</v>
      </c>
      <c r="D680" s="54">
        <v>30904</v>
      </c>
      <c r="E680" s="54">
        <v>0</v>
      </c>
      <c r="F680" s="53">
        <f t="shared" si="10"/>
        <v>30904</v>
      </c>
    </row>
    <row r="681" spans="1:6" s="10" customFormat="1" ht="31.5">
      <c r="A681" s="21" t="s">
        <v>437</v>
      </c>
      <c r="B681" s="16" t="s">
        <v>438</v>
      </c>
      <c r="C681" s="24"/>
      <c r="D681" s="55">
        <f>SUM(D682,D684)</f>
        <v>4578800</v>
      </c>
      <c r="E681" s="55">
        <f>SUM(E682,E684)</f>
        <v>0</v>
      </c>
      <c r="F681" s="53">
        <f t="shared" si="10"/>
        <v>4578800</v>
      </c>
    </row>
    <row r="682" spans="1:6" s="10" customFormat="1" ht="78.75">
      <c r="A682" s="30" t="s">
        <v>66</v>
      </c>
      <c r="B682" s="16" t="s">
        <v>438</v>
      </c>
      <c r="C682" s="24" t="s">
        <v>67</v>
      </c>
      <c r="D682" s="55">
        <f>D683</f>
        <v>3623000</v>
      </c>
      <c r="E682" s="55">
        <f>E683</f>
        <v>0</v>
      </c>
      <c r="F682" s="53">
        <f t="shared" si="10"/>
        <v>3623000</v>
      </c>
    </row>
    <row r="683" spans="1:6" s="10" customFormat="1" ht="31.5">
      <c r="A683" s="30" t="s">
        <v>68</v>
      </c>
      <c r="B683" s="16" t="s">
        <v>438</v>
      </c>
      <c r="C683" s="24" t="s">
        <v>69</v>
      </c>
      <c r="D683" s="55">
        <v>3623000</v>
      </c>
      <c r="E683" s="55">
        <v>0</v>
      </c>
      <c r="F683" s="53">
        <f t="shared" si="10"/>
        <v>3623000</v>
      </c>
    </row>
    <row r="684" spans="1:6" s="10" customFormat="1" ht="31.5">
      <c r="A684" s="21" t="s">
        <v>7</v>
      </c>
      <c r="B684" s="16" t="s">
        <v>438</v>
      </c>
      <c r="C684" s="24" t="s">
        <v>70</v>
      </c>
      <c r="D684" s="54">
        <f>D685</f>
        <v>955800</v>
      </c>
      <c r="E684" s="54">
        <f>E685</f>
        <v>0</v>
      </c>
      <c r="F684" s="53">
        <f t="shared" si="10"/>
        <v>955800</v>
      </c>
    </row>
    <row r="685" spans="1:6" s="10" customFormat="1" ht="31.5">
      <c r="A685" s="30" t="s">
        <v>8</v>
      </c>
      <c r="B685" s="16" t="s">
        <v>438</v>
      </c>
      <c r="C685" s="24" t="s">
        <v>71</v>
      </c>
      <c r="D685" s="54">
        <v>955800</v>
      </c>
      <c r="E685" s="54">
        <v>0</v>
      </c>
      <c r="F685" s="53">
        <f t="shared" si="10"/>
        <v>955800</v>
      </c>
    </row>
    <row r="686" spans="1:6" s="10" customFormat="1" ht="16.5">
      <c r="A686" s="18" t="s">
        <v>439</v>
      </c>
      <c r="B686" s="14" t="s">
        <v>440</v>
      </c>
      <c r="C686" s="14"/>
      <c r="D686" s="53">
        <f>SUM(D687,D690,D693)</f>
        <v>10000000</v>
      </c>
      <c r="E686" s="53">
        <f>SUM(E687,E690,E693)</f>
        <v>0</v>
      </c>
      <c r="F686" s="53">
        <f t="shared" si="10"/>
        <v>10000000</v>
      </c>
    </row>
    <row r="687" spans="1:6" s="10" customFormat="1" ht="16.5">
      <c r="A687" s="18" t="s">
        <v>441</v>
      </c>
      <c r="B687" s="14" t="s">
        <v>442</v>
      </c>
      <c r="C687" s="14"/>
      <c r="D687" s="53">
        <f>D688</f>
        <v>7200000</v>
      </c>
      <c r="E687" s="53">
        <f>E688</f>
        <v>-1158100</v>
      </c>
      <c r="F687" s="53">
        <f t="shared" si="10"/>
        <v>6041900</v>
      </c>
    </row>
    <row r="688" spans="1:6" s="10" customFormat="1" ht="16.5">
      <c r="A688" s="20" t="s">
        <v>544</v>
      </c>
      <c r="B688" s="14" t="s">
        <v>442</v>
      </c>
      <c r="C688" s="14">
        <v>800</v>
      </c>
      <c r="D688" s="53">
        <f>D689</f>
        <v>7200000</v>
      </c>
      <c r="E688" s="53">
        <f>E689</f>
        <v>-1158100</v>
      </c>
      <c r="F688" s="53">
        <f t="shared" si="10"/>
        <v>6041900</v>
      </c>
    </row>
    <row r="689" spans="1:6" s="10" customFormat="1" ht="16.5">
      <c r="A689" s="18" t="s">
        <v>443</v>
      </c>
      <c r="B689" s="14" t="s">
        <v>442</v>
      </c>
      <c r="C689" s="14">
        <v>870</v>
      </c>
      <c r="D689" s="53">
        <v>7200000</v>
      </c>
      <c r="E689" s="53">
        <f>-14400-1143700</f>
        <v>-1158100</v>
      </c>
      <c r="F689" s="53">
        <f t="shared" si="10"/>
        <v>6041900</v>
      </c>
    </row>
    <row r="690" spans="1:6" s="10" customFormat="1" ht="47.25">
      <c r="A690" s="18" t="s">
        <v>444</v>
      </c>
      <c r="B690" s="14" t="s">
        <v>445</v>
      </c>
      <c r="C690" s="14"/>
      <c r="D690" s="53">
        <f>D691</f>
        <v>2800000</v>
      </c>
      <c r="E690" s="53">
        <f>E691</f>
        <v>0</v>
      </c>
      <c r="F690" s="53">
        <f t="shared" si="10"/>
        <v>2800000</v>
      </c>
    </row>
    <row r="691" spans="1:6" s="10" customFormat="1" ht="16.5">
      <c r="A691" s="20" t="s">
        <v>544</v>
      </c>
      <c r="B691" s="14" t="s">
        <v>445</v>
      </c>
      <c r="C691" s="14">
        <v>800</v>
      </c>
      <c r="D691" s="53">
        <f>D692</f>
        <v>2800000</v>
      </c>
      <c r="E691" s="53">
        <f>E692</f>
        <v>0</v>
      </c>
      <c r="F691" s="53">
        <f t="shared" si="10"/>
        <v>2800000</v>
      </c>
    </row>
    <row r="692" spans="1:6" s="10" customFormat="1" ht="16.5">
      <c r="A692" s="18" t="s">
        <v>443</v>
      </c>
      <c r="B692" s="14" t="s">
        <v>445</v>
      </c>
      <c r="C692" s="14">
        <v>870</v>
      </c>
      <c r="D692" s="53">
        <v>2800000</v>
      </c>
      <c r="E692" s="53">
        <v>0</v>
      </c>
      <c r="F692" s="53">
        <f t="shared" si="10"/>
        <v>2800000</v>
      </c>
    </row>
    <row r="693" spans="1:6" s="10" customFormat="1" ht="31.5">
      <c r="A693" s="18" t="s">
        <v>446</v>
      </c>
      <c r="B693" s="14" t="s">
        <v>447</v>
      </c>
      <c r="C693" s="14"/>
      <c r="D693" s="53">
        <f>SUM(D694,D696)</f>
        <v>0</v>
      </c>
      <c r="E693" s="53">
        <f>SUM(E694,E696)</f>
        <v>1158100</v>
      </c>
      <c r="F693" s="53">
        <f t="shared" si="10"/>
        <v>1158100</v>
      </c>
    </row>
    <row r="694" spans="1:6" s="10" customFormat="1" ht="31.5">
      <c r="A694" s="21" t="s">
        <v>7</v>
      </c>
      <c r="B694" s="14" t="s">
        <v>447</v>
      </c>
      <c r="C694" s="24" t="s">
        <v>70</v>
      </c>
      <c r="D694" s="53">
        <f>D695</f>
        <v>0</v>
      </c>
      <c r="E694" s="53">
        <f>E695</f>
        <v>14400</v>
      </c>
      <c r="F694" s="53">
        <f t="shared" si="10"/>
        <v>14400</v>
      </c>
    </row>
    <row r="695" spans="1:6" s="10" customFormat="1" ht="31.5">
      <c r="A695" s="30" t="s">
        <v>8</v>
      </c>
      <c r="B695" s="14" t="s">
        <v>447</v>
      </c>
      <c r="C695" s="24" t="s">
        <v>71</v>
      </c>
      <c r="D695" s="53">
        <v>0</v>
      </c>
      <c r="E695" s="53">
        <v>14400</v>
      </c>
      <c r="F695" s="53">
        <f t="shared" si="10"/>
        <v>14400</v>
      </c>
    </row>
    <row r="696" spans="1:6" s="10" customFormat="1" ht="16.5">
      <c r="A696" s="29" t="s">
        <v>9</v>
      </c>
      <c r="B696" s="14" t="s">
        <v>447</v>
      </c>
      <c r="C696" s="24" t="s">
        <v>448</v>
      </c>
      <c r="D696" s="53">
        <f>D697</f>
        <v>0</v>
      </c>
      <c r="E696" s="53">
        <f>E697</f>
        <v>1143700</v>
      </c>
      <c r="F696" s="53">
        <f t="shared" si="10"/>
        <v>1143700</v>
      </c>
    </row>
    <row r="697" spans="1:6" s="10" customFormat="1" ht="16.5">
      <c r="A697" s="29" t="s">
        <v>395</v>
      </c>
      <c r="B697" s="14" t="s">
        <v>447</v>
      </c>
      <c r="C697" s="24" t="s">
        <v>449</v>
      </c>
      <c r="D697" s="53"/>
      <c r="E697" s="53">
        <v>1143700</v>
      </c>
      <c r="F697" s="53">
        <f t="shared" si="10"/>
        <v>1143700</v>
      </c>
    </row>
    <row r="698" spans="1:6" s="10" customFormat="1" ht="31.5">
      <c r="A698" s="38" t="s">
        <v>450</v>
      </c>
      <c r="B698" s="39" t="s">
        <v>451</v>
      </c>
      <c r="C698" s="23"/>
      <c r="D698" s="59">
        <f>SUM(D699,D702,D705,D708,D711,D714,D717,D720,D723,D726,D729,D738,D741,D735,D732)</f>
        <v>207534359.14000002</v>
      </c>
      <c r="E698" s="59">
        <f>SUM(E699,E702,E705,E708,E711,E714,E717,E720,E723,E726,E729,E738,E741,E735,E732)</f>
        <v>126178568.79</v>
      </c>
      <c r="F698" s="53">
        <f t="shared" si="10"/>
        <v>333712927.93</v>
      </c>
    </row>
    <row r="699" spans="1:6" s="10" customFormat="1" ht="47.25">
      <c r="A699" s="18" t="s">
        <v>452</v>
      </c>
      <c r="B699" s="14" t="s">
        <v>453</v>
      </c>
      <c r="C699" s="14"/>
      <c r="D699" s="53">
        <f>D700</f>
        <v>500000</v>
      </c>
      <c r="E699" s="53">
        <f>E700</f>
        <v>0</v>
      </c>
      <c r="F699" s="53">
        <f t="shared" si="10"/>
        <v>500000</v>
      </c>
    </row>
    <row r="700" spans="1:6" s="10" customFormat="1" ht="31.5">
      <c r="A700" s="20" t="s">
        <v>7</v>
      </c>
      <c r="B700" s="14" t="s">
        <v>453</v>
      </c>
      <c r="C700" s="14">
        <v>200</v>
      </c>
      <c r="D700" s="53">
        <f>D701</f>
        <v>500000</v>
      </c>
      <c r="E700" s="53">
        <f>E701</f>
        <v>0</v>
      </c>
      <c r="F700" s="53">
        <f t="shared" si="10"/>
        <v>500000</v>
      </c>
    </row>
    <row r="701" spans="1:6" s="10" customFormat="1" ht="31.5">
      <c r="A701" s="20" t="s">
        <v>8</v>
      </c>
      <c r="B701" s="14" t="s">
        <v>453</v>
      </c>
      <c r="C701" s="14">
        <v>240</v>
      </c>
      <c r="D701" s="53">
        <v>500000</v>
      </c>
      <c r="E701" s="53">
        <v>0</v>
      </c>
      <c r="F701" s="53">
        <f t="shared" si="10"/>
        <v>500000</v>
      </c>
    </row>
    <row r="702" spans="1:6" s="10" customFormat="1" ht="47.25">
      <c r="A702" s="18" t="s">
        <v>454</v>
      </c>
      <c r="B702" s="14" t="s">
        <v>455</v>
      </c>
      <c r="C702" s="14"/>
      <c r="D702" s="53">
        <f>D703</f>
        <v>3150000</v>
      </c>
      <c r="E702" s="53">
        <f>E703</f>
        <v>0</v>
      </c>
      <c r="F702" s="53">
        <f t="shared" si="10"/>
        <v>3150000</v>
      </c>
    </row>
    <row r="703" spans="1:6" s="10" customFormat="1" ht="31.5">
      <c r="A703" s="20" t="s">
        <v>7</v>
      </c>
      <c r="B703" s="14" t="s">
        <v>455</v>
      </c>
      <c r="C703" s="14">
        <v>200</v>
      </c>
      <c r="D703" s="53">
        <f>D704</f>
        <v>3150000</v>
      </c>
      <c r="E703" s="53">
        <f>E704</f>
        <v>0</v>
      </c>
      <c r="F703" s="53">
        <f t="shared" si="10"/>
        <v>3150000</v>
      </c>
    </row>
    <row r="704" spans="1:6" s="10" customFormat="1" ht="31.5">
      <c r="A704" s="20" t="s">
        <v>8</v>
      </c>
      <c r="B704" s="14" t="s">
        <v>455</v>
      </c>
      <c r="C704" s="14">
        <v>240</v>
      </c>
      <c r="D704" s="53">
        <v>3150000</v>
      </c>
      <c r="E704" s="53">
        <v>0</v>
      </c>
      <c r="F704" s="53">
        <f t="shared" si="10"/>
        <v>3150000</v>
      </c>
    </row>
    <row r="705" spans="1:6" s="10" customFormat="1" ht="16.5">
      <c r="A705" s="18" t="s">
        <v>456</v>
      </c>
      <c r="B705" s="14" t="s">
        <v>457</v>
      </c>
      <c r="C705" s="14"/>
      <c r="D705" s="53">
        <f>D706</f>
        <v>282000</v>
      </c>
      <c r="E705" s="53">
        <f>E706</f>
        <v>0</v>
      </c>
      <c r="F705" s="53">
        <f t="shared" si="10"/>
        <v>282000</v>
      </c>
    </row>
    <row r="706" spans="1:6" s="10" customFormat="1" ht="16.5">
      <c r="A706" s="18" t="s">
        <v>458</v>
      </c>
      <c r="B706" s="14" t="s">
        <v>457</v>
      </c>
      <c r="C706" s="14">
        <v>700</v>
      </c>
      <c r="D706" s="53">
        <f>D707</f>
        <v>282000</v>
      </c>
      <c r="E706" s="53">
        <f>E707</f>
        <v>0</v>
      </c>
      <c r="F706" s="53">
        <f t="shared" si="10"/>
        <v>282000</v>
      </c>
    </row>
    <row r="707" spans="1:6" s="10" customFormat="1" ht="16.5">
      <c r="A707" s="18" t="s">
        <v>459</v>
      </c>
      <c r="B707" s="14" t="s">
        <v>457</v>
      </c>
      <c r="C707" s="14">
        <v>730</v>
      </c>
      <c r="D707" s="53">
        <v>282000</v>
      </c>
      <c r="E707" s="53">
        <v>0</v>
      </c>
      <c r="F707" s="53">
        <f t="shared" si="10"/>
        <v>282000</v>
      </c>
    </row>
    <row r="708" spans="1:6" s="10" customFormat="1" ht="63">
      <c r="A708" s="18" t="s">
        <v>460</v>
      </c>
      <c r="B708" s="14" t="s">
        <v>461</v>
      </c>
      <c r="C708" s="14"/>
      <c r="D708" s="26">
        <f>D709</f>
        <v>20000000</v>
      </c>
      <c r="E708" s="26">
        <f>E709</f>
        <v>0</v>
      </c>
      <c r="F708" s="53">
        <f t="shared" si="10"/>
        <v>20000000</v>
      </c>
    </row>
    <row r="709" spans="1:6" s="10" customFormat="1" ht="16.5">
      <c r="A709" s="18" t="s">
        <v>544</v>
      </c>
      <c r="B709" s="14" t="s">
        <v>461</v>
      </c>
      <c r="C709" s="14">
        <v>800</v>
      </c>
      <c r="D709" s="26">
        <f>D710</f>
        <v>20000000</v>
      </c>
      <c r="E709" s="26">
        <f>E710</f>
        <v>0</v>
      </c>
      <c r="F709" s="53">
        <f t="shared" si="10"/>
        <v>20000000</v>
      </c>
    </row>
    <row r="710" spans="1:6" s="10" customFormat="1" ht="47.25">
      <c r="A710" s="18" t="s">
        <v>545</v>
      </c>
      <c r="B710" s="14" t="s">
        <v>461</v>
      </c>
      <c r="C710" s="14">
        <v>810</v>
      </c>
      <c r="D710" s="26">
        <v>20000000</v>
      </c>
      <c r="E710" s="26">
        <v>0</v>
      </c>
      <c r="F710" s="53">
        <f t="shared" si="10"/>
        <v>20000000</v>
      </c>
    </row>
    <row r="711" spans="1:6" s="10" customFormat="1" ht="16.5">
      <c r="A711" s="18" t="s">
        <v>462</v>
      </c>
      <c r="B711" s="14" t="s">
        <v>463</v>
      </c>
      <c r="C711" s="14"/>
      <c r="D711" s="53">
        <f>D712</f>
        <v>20300000</v>
      </c>
      <c r="E711" s="53">
        <f>E712</f>
        <v>0</v>
      </c>
      <c r="F711" s="53">
        <f t="shared" si="10"/>
        <v>20300000</v>
      </c>
    </row>
    <row r="712" spans="1:6" s="10" customFormat="1" ht="31.5">
      <c r="A712" s="20" t="s">
        <v>7</v>
      </c>
      <c r="B712" s="14" t="s">
        <v>463</v>
      </c>
      <c r="C712" s="14">
        <v>200</v>
      </c>
      <c r="D712" s="53">
        <f>D713</f>
        <v>20300000</v>
      </c>
      <c r="E712" s="53">
        <f>E713</f>
        <v>0</v>
      </c>
      <c r="F712" s="53">
        <f t="shared" si="10"/>
        <v>20300000</v>
      </c>
    </row>
    <row r="713" spans="1:6" s="10" customFormat="1" ht="31.5">
      <c r="A713" s="20" t="s">
        <v>8</v>
      </c>
      <c r="B713" s="14" t="s">
        <v>463</v>
      </c>
      <c r="C713" s="14">
        <v>240</v>
      </c>
      <c r="D713" s="53">
        <v>20300000</v>
      </c>
      <c r="E713" s="53">
        <v>0</v>
      </c>
      <c r="F713" s="53">
        <f t="shared" si="10"/>
        <v>20300000</v>
      </c>
    </row>
    <row r="714" spans="1:6" s="10" customFormat="1" ht="47.25">
      <c r="A714" s="18" t="s">
        <v>464</v>
      </c>
      <c r="B714" s="14" t="s">
        <v>465</v>
      </c>
      <c r="C714" s="14"/>
      <c r="D714" s="53">
        <f>D715</f>
        <v>400000</v>
      </c>
      <c r="E714" s="53">
        <f>E715</f>
        <v>0</v>
      </c>
      <c r="F714" s="53">
        <f t="shared" si="10"/>
        <v>400000</v>
      </c>
    </row>
    <row r="715" spans="1:6" s="10" customFormat="1" ht="31.5">
      <c r="A715" s="18" t="s">
        <v>541</v>
      </c>
      <c r="B715" s="14" t="s">
        <v>465</v>
      </c>
      <c r="C715" s="14">
        <v>600</v>
      </c>
      <c r="D715" s="53">
        <f>D716</f>
        <v>400000</v>
      </c>
      <c r="E715" s="53">
        <f>E716</f>
        <v>0</v>
      </c>
      <c r="F715" s="53">
        <f t="shared" si="10"/>
        <v>400000</v>
      </c>
    </row>
    <row r="716" spans="1:6" s="10" customFormat="1" ht="31.5">
      <c r="A716" s="18" t="s">
        <v>543</v>
      </c>
      <c r="B716" s="14" t="s">
        <v>465</v>
      </c>
      <c r="C716" s="14">
        <v>630</v>
      </c>
      <c r="D716" s="26">
        <f>250000+150000</f>
        <v>400000</v>
      </c>
      <c r="E716" s="26">
        <v>0</v>
      </c>
      <c r="F716" s="53">
        <f t="shared" si="10"/>
        <v>400000</v>
      </c>
    </row>
    <row r="717" spans="1:6" s="10" customFormat="1" ht="157.5">
      <c r="A717" s="18" t="s">
        <v>466</v>
      </c>
      <c r="B717" s="14" t="s">
        <v>467</v>
      </c>
      <c r="C717" s="14"/>
      <c r="D717" s="26">
        <f>D718</f>
        <v>400000</v>
      </c>
      <c r="E717" s="26">
        <f>E718</f>
        <v>0</v>
      </c>
      <c r="F717" s="53">
        <f t="shared" si="10"/>
        <v>400000</v>
      </c>
    </row>
    <row r="718" spans="1:6" s="10" customFormat="1" ht="31.5">
      <c r="A718" s="18" t="s">
        <v>541</v>
      </c>
      <c r="B718" s="14" t="s">
        <v>467</v>
      </c>
      <c r="C718" s="14">
        <v>600</v>
      </c>
      <c r="D718" s="26">
        <f>D719</f>
        <v>400000</v>
      </c>
      <c r="E718" s="26">
        <f>E719</f>
        <v>0</v>
      </c>
      <c r="F718" s="53">
        <f t="shared" si="10"/>
        <v>400000</v>
      </c>
    </row>
    <row r="719" spans="1:6" s="10" customFormat="1" ht="31.5">
      <c r="A719" s="18" t="s">
        <v>543</v>
      </c>
      <c r="B719" s="14" t="s">
        <v>467</v>
      </c>
      <c r="C719" s="14">
        <v>630</v>
      </c>
      <c r="D719" s="26">
        <v>400000</v>
      </c>
      <c r="E719" s="26">
        <v>0</v>
      </c>
      <c r="F719" s="53">
        <f t="shared" si="10"/>
        <v>400000</v>
      </c>
    </row>
    <row r="720" spans="1:6" s="10" customFormat="1" ht="63">
      <c r="A720" s="40" t="s">
        <v>468</v>
      </c>
      <c r="B720" s="14" t="s">
        <v>469</v>
      </c>
      <c r="C720" s="14"/>
      <c r="D720" s="53">
        <f>D721</f>
        <v>850000</v>
      </c>
      <c r="E720" s="53">
        <f>E721</f>
        <v>81032</v>
      </c>
      <c r="F720" s="53">
        <f t="shared" si="10"/>
        <v>931032</v>
      </c>
    </row>
    <row r="721" spans="1:6" s="10" customFormat="1" ht="16.5">
      <c r="A721" s="20" t="s">
        <v>544</v>
      </c>
      <c r="B721" s="14" t="s">
        <v>469</v>
      </c>
      <c r="C721" s="14">
        <v>800</v>
      </c>
      <c r="D721" s="53">
        <f>D722</f>
        <v>850000</v>
      </c>
      <c r="E721" s="53">
        <f>E722</f>
        <v>81032</v>
      </c>
      <c r="F721" s="53">
        <f t="shared" si="10"/>
        <v>931032</v>
      </c>
    </row>
    <row r="722" spans="1:6" s="10" customFormat="1" ht="16.5">
      <c r="A722" s="20" t="s">
        <v>73</v>
      </c>
      <c r="B722" s="14" t="s">
        <v>469</v>
      </c>
      <c r="C722" s="14">
        <v>850</v>
      </c>
      <c r="D722" s="26">
        <v>850000</v>
      </c>
      <c r="E722" s="26">
        <v>81032</v>
      </c>
      <c r="F722" s="53">
        <f t="shared" si="10"/>
        <v>931032</v>
      </c>
    </row>
    <row r="723" spans="1:6" s="10" customFormat="1" ht="63">
      <c r="A723" s="18" t="s">
        <v>470</v>
      </c>
      <c r="B723" s="14" t="s">
        <v>471</v>
      </c>
      <c r="C723" s="14"/>
      <c r="D723" s="26">
        <f>D724</f>
        <v>1473980.92</v>
      </c>
      <c r="E723" s="26">
        <f>E724</f>
        <v>0</v>
      </c>
      <c r="F723" s="53">
        <f t="shared" si="10"/>
        <v>1473980.92</v>
      </c>
    </row>
    <row r="724" spans="1:6" s="10" customFormat="1" ht="31.5">
      <c r="A724" s="20" t="s">
        <v>7</v>
      </c>
      <c r="B724" s="14" t="s">
        <v>471</v>
      </c>
      <c r="C724" s="14">
        <v>200</v>
      </c>
      <c r="D724" s="26">
        <f>D725</f>
        <v>1473980.92</v>
      </c>
      <c r="E724" s="26">
        <f>E725</f>
        <v>0</v>
      </c>
      <c r="F724" s="53">
        <f t="shared" si="10"/>
        <v>1473980.92</v>
      </c>
    </row>
    <row r="725" spans="1:6" s="10" customFormat="1" ht="31.5">
      <c r="A725" s="20" t="s">
        <v>8</v>
      </c>
      <c r="B725" s="14" t="s">
        <v>471</v>
      </c>
      <c r="C725" s="14">
        <v>240</v>
      </c>
      <c r="D725" s="26">
        <v>1473980.92</v>
      </c>
      <c r="E725" s="26">
        <v>0</v>
      </c>
      <c r="F725" s="53">
        <f t="shared" si="10"/>
        <v>1473980.92</v>
      </c>
    </row>
    <row r="726" spans="1:6" s="10" customFormat="1" ht="63">
      <c r="A726" s="18" t="s">
        <v>472</v>
      </c>
      <c r="B726" s="14" t="s">
        <v>473</v>
      </c>
      <c r="C726" s="14"/>
      <c r="D726" s="53">
        <f>D727</f>
        <v>123324577.62</v>
      </c>
      <c r="E726" s="53">
        <f>E727</f>
        <v>140118000</v>
      </c>
      <c r="F726" s="53">
        <f t="shared" si="10"/>
        <v>263442577.62</v>
      </c>
    </row>
    <row r="727" spans="1:6" s="10" customFormat="1" ht="16.5">
      <c r="A727" s="20" t="s">
        <v>544</v>
      </c>
      <c r="B727" s="14" t="s">
        <v>473</v>
      </c>
      <c r="C727" s="14">
        <v>800</v>
      </c>
      <c r="D727" s="53">
        <f>D728</f>
        <v>123324577.62</v>
      </c>
      <c r="E727" s="53">
        <f>E728</f>
        <v>140118000</v>
      </c>
      <c r="F727" s="53">
        <f t="shared" si="10"/>
        <v>263442577.62</v>
      </c>
    </row>
    <row r="728" spans="1:6" s="10" customFormat="1" ht="47.25">
      <c r="A728" s="18" t="s">
        <v>545</v>
      </c>
      <c r="B728" s="14" t="s">
        <v>473</v>
      </c>
      <c r="C728" s="14">
        <v>810</v>
      </c>
      <c r="D728" s="53">
        <v>123324577.62</v>
      </c>
      <c r="E728" s="53">
        <f>-2681030.52-156261.62+2677469.54-411415.25+118000+140000000+571237.85</f>
        <v>140118000</v>
      </c>
      <c r="F728" s="53">
        <f t="shared" si="10"/>
        <v>263442577.62</v>
      </c>
    </row>
    <row r="729" spans="1:6" s="10" customFormat="1" ht="31.5">
      <c r="A729" s="40" t="s">
        <v>474</v>
      </c>
      <c r="B729" s="14" t="s">
        <v>475</v>
      </c>
      <c r="C729" s="14"/>
      <c r="D729" s="53">
        <f>D730</f>
        <v>11980120</v>
      </c>
      <c r="E729" s="53">
        <f>E730</f>
        <v>0</v>
      </c>
      <c r="F729" s="53">
        <f t="shared" si="10"/>
        <v>11980120</v>
      </c>
    </row>
    <row r="730" spans="1:6" s="10" customFormat="1" ht="31.5">
      <c r="A730" s="18" t="s">
        <v>216</v>
      </c>
      <c r="B730" s="14" t="s">
        <v>475</v>
      </c>
      <c r="C730" s="14">
        <v>400</v>
      </c>
      <c r="D730" s="53">
        <f>D731</f>
        <v>11980120</v>
      </c>
      <c r="E730" s="53">
        <f>E731</f>
        <v>0</v>
      </c>
      <c r="F730" s="53">
        <f t="shared" si="10"/>
        <v>11980120</v>
      </c>
    </row>
    <row r="731" spans="1:6" s="10" customFormat="1" ht="16.5">
      <c r="A731" s="18" t="s">
        <v>217</v>
      </c>
      <c r="B731" s="14" t="s">
        <v>475</v>
      </c>
      <c r="C731" s="14">
        <v>410</v>
      </c>
      <c r="D731" s="26">
        <v>11980120</v>
      </c>
      <c r="E731" s="26">
        <v>0</v>
      </c>
      <c r="F731" s="53">
        <f t="shared" si="10"/>
        <v>11980120</v>
      </c>
    </row>
    <row r="732" spans="1:6" s="10" customFormat="1" ht="31.5">
      <c r="A732" s="18" t="s">
        <v>476</v>
      </c>
      <c r="B732" s="14" t="s">
        <v>477</v>
      </c>
      <c r="C732" s="14"/>
      <c r="D732" s="26">
        <f>D733</f>
        <v>0</v>
      </c>
      <c r="E732" s="26">
        <f>E733</f>
        <v>150000</v>
      </c>
      <c r="F732" s="53">
        <f t="shared" si="10"/>
        <v>150000</v>
      </c>
    </row>
    <row r="733" spans="1:6" s="10" customFormat="1" ht="31.5">
      <c r="A733" s="20" t="s">
        <v>7</v>
      </c>
      <c r="B733" s="14" t="s">
        <v>477</v>
      </c>
      <c r="C733" s="14">
        <v>200</v>
      </c>
      <c r="D733" s="26">
        <f>D734</f>
        <v>0</v>
      </c>
      <c r="E733" s="26">
        <f>E734</f>
        <v>150000</v>
      </c>
      <c r="F733" s="53">
        <f t="shared" si="10"/>
        <v>150000</v>
      </c>
    </row>
    <row r="734" spans="1:6" s="10" customFormat="1" ht="31.5">
      <c r="A734" s="20" t="s">
        <v>430</v>
      </c>
      <c r="B734" s="14" t="s">
        <v>477</v>
      </c>
      <c r="C734" s="14">
        <v>240</v>
      </c>
      <c r="D734" s="26">
        <v>0</v>
      </c>
      <c r="E734" s="26">
        <v>150000</v>
      </c>
      <c r="F734" s="53">
        <f t="shared" si="10"/>
        <v>150000</v>
      </c>
    </row>
    <row r="735" spans="1:6" s="10" customFormat="1" ht="47.25">
      <c r="A735" s="18" t="s">
        <v>478</v>
      </c>
      <c r="B735" s="14" t="s">
        <v>479</v>
      </c>
      <c r="C735" s="14"/>
      <c r="D735" s="26">
        <f>D736</f>
        <v>200000</v>
      </c>
      <c r="E735" s="26">
        <f>E736</f>
        <v>0</v>
      </c>
      <c r="F735" s="53">
        <f t="shared" si="10"/>
        <v>200000</v>
      </c>
    </row>
    <row r="736" spans="1:6" s="10" customFormat="1" ht="16.5">
      <c r="A736" s="20" t="s">
        <v>544</v>
      </c>
      <c r="B736" s="14" t="s">
        <v>479</v>
      </c>
      <c r="C736" s="14">
        <v>800</v>
      </c>
      <c r="D736" s="26">
        <f>D737</f>
        <v>200000</v>
      </c>
      <c r="E736" s="26">
        <f>E737</f>
        <v>0</v>
      </c>
      <c r="F736" s="53">
        <f t="shared" si="10"/>
        <v>200000</v>
      </c>
    </row>
    <row r="737" spans="1:6" s="10" customFormat="1" ht="16.5">
      <c r="A737" s="18" t="s">
        <v>73</v>
      </c>
      <c r="B737" s="14" t="s">
        <v>479</v>
      </c>
      <c r="C737" s="14">
        <v>850</v>
      </c>
      <c r="D737" s="26">
        <v>200000</v>
      </c>
      <c r="E737" s="26">
        <v>0</v>
      </c>
      <c r="F737" s="53">
        <f t="shared" si="10"/>
        <v>200000</v>
      </c>
    </row>
    <row r="738" spans="1:6" s="10" customFormat="1" ht="31.5">
      <c r="A738" s="41" t="s">
        <v>480</v>
      </c>
      <c r="B738" s="14" t="s">
        <v>481</v>
      </c>
      <c r="C738" s="23"/>
      <c r="D738" s="59">
        <f>D739</f>
        <v>19673680.6</v>
      </c>
      <c r="E738" s="59">
        <f>E739</f>
        <v>-9170463.209999999</v>
      </c>
      <c r="F738" s="53">
        <f t="shared" si="10"/>
        <v>10503217.390000002</v>
      </c>
    </row>
    <row r="739" spans="1:6" s="10" customFormat="1" ht="31.5">
      <c r="A739" s="20" t="s">
        <v>7</v>
      </c>
      <c r="B739" s="14" t="s">
        <v>481</v>
      </c>
      <c r="C739" s="23" t="s">
        <v>70</v>
      </c>
      <c r="D739" s="59">
        <f>D740</f>
        <v>19673680.6</v>
      </c>
      <c r="E739" s="59">
        <f>E740</f>
        <v>-9170463.209999999</v>
      </c>
      <c r="F739" s="53">
        <f t="shared" si="10"/>
        <v>10503217.390000002</v>
      </c>
    </row>
    <row r="740" spans="1:6" s="10" customFormat="1" ht="31.5">
      <c r="A740" s="20" t="s">
        <v>430</v>
      </c>
      <c r="B740" s="14" t="s">
        <v>481</v>
      </c>
      <c r="C740" s="23" t="s">
        <v>71</v>
      </c>
      <c r="D740" s="53">
        <v>19673680.6</v>
      </c>
      <c r="E740" s="53">
        <f>-7265213.16-571237.85-1334012.2</f>
        <v>-9170463.209999999</v>
      </c>
      <c r="F740" s="53">
        <f t="shared" si="10"/>
        <v>10503217.390000002</v>
      </c>
    </row>
    <row r="741" spans="1:6" s="10" customFormat="1" ht="16.5">
      <c r="A741" s="20" t="s">
        <v>482</v>
      </c>
      <c r="B741" s="14" t="s">
        <v>483</v>
      </c>
      <c r="C741" s="14"/>
      <c r="D741" s="53">
        <f>D742</f>
        <v>5000000</v>
      </c>
      <c r="E741" s="53">
        <f>E742</f>
        <v>-5000000</v>
      </c>
      <c r="F741" s="53">
        <f t="shared" si="10"/>
        <v>0</v>
      </c>
    </row>
    <row r="742" spans="1:6" s="10" customFormat="1" ht="31.5">
      <c r="A742" s="20" t="s">
        <v>7</v>
      </c>
      <c r="B742" s="14" t="s">
        <v>483</v>
      </c>
      <c r="C742" s="14">
        <v>200</v>
      </c>
      <c r="D742" s="53">
        <f>D743</f>
        <v>5000000</v>
      </c>
      <c r="E742" s="53">
        <f>E743</f>
        <v>-5000000</v>
      </c>
      <c r="F742" s="53">
        <f aca="true" t="shared" si="11" ref="F742:F799">SUM(D742:E742)</f>
        <v>0</v>
      </c>
    </row>
    <row r="743" spans="1:6" s="10" customFormat="1" ht="31.5">
      <c r="A743" s="20" t="s">
        <v>8</v>
      </c>
      <c r="B743" s="14" t="s">
        <v>483</v>
      </c>
      <c r="C743" s="14">
        <v>240</v>
      </c>
      <c r="D743" s="26">
        <v>5000000</v>
      </c>
      <c r="E743" s="26">
        <v>-5000000</v>
      </c>
      <c r="F743" s="53">
        <f t="shared" si="11"/>
        <v>0</v>
      </c>
    </row>
    <row r="744" spans="1:6" s="10" customFormat="1" ht="47.25">
      <c r="A744" s="18" t="s">
        <v>484</v>
      </c>
      <c r="B744" s="14" t="s">
        <v>485</v>
      </c>
      <c r="C744" s="14"/>
      <c r="D744" s="53">
        <f>SUM(D748,,D751,D754,D757,D766,D760,D763,D745)</f>
        <v>125466265.16999999</v>
      </c>
      <c r="E744" s="53">
        <f>SUM(E748,,E751,E754,E757,E766,E760,E763,E745)</f>
        <v>2672251</v>
      </c>
      <c r="F744" s="53">
        <f t="shared" si="11"/>
        <v>128138516.16999999</v>
      </c>
    </row>
    <row r="745" spans="1:6" s="10" customFormat="1" ht="31.5">
      <c r="A745" s="18" t="s">
        <v>486</v>
      </c>
      <c r="B745" s="14" t="s">
        <v>487</v>
      </c>
      <c r="C745" s="14"/>
      <c r="D745" s="53">
        <f>D746</f>
        <v>100000</v>
      </c>
      <c r="E745" s="53">
        <f>E746</f>
        <v>0</v>
      </c>
      <c r="F745" s="53">
        <f t="shared" si="11"/>
        <v>100000</v>
      </c>
    </row>
    <row r="746" spans="1:6" s="10" customFormat="1" ht="31.5">
      <c r="A746" s="21" t="s">
        <v>7</v>
      </c>
      <c r="B746" s="14" t="s">
        <v>487</v>
      </c>
      <c r="C746" s="16">
        <v>200</v>
      </c>
      <c r="D746" s="53">
        <f>D747</f>
        <v>100000</v>
      </c>
      <c r="E746" s="53">
        <f>E747</f>
        <v>0</v>
      </c>
      <c r="F746" s="53">
        <f t="shared" si="11"/>
        <v>100000</v>
      </c>
    </row>
    <row r="747" spans="1:6" s="10" customFormat="1" ht="31.5">
      <c r="A747" s="21" t="s">
        <v>8</v>
      </c>
      <c r="B747" s="14" t="s">
        <v>487</v>
      </c>
      <c r="C747" s="16">
        <v>240</v>
      </c>
      <c r="D747" s="53">
        <v>100000</v>
      </c>
      <c r="E747" s="53">
        <v>0</v>
      </c>
      <c r="F747" s="53">
        <f t="shared" si="11"/>
        <v>100000</v>
      </c>
    </row>
    <row r="748" spans="1:6" s="10" customFormat="1" ht="47.25">
      <c r="A748" s="17" t="s">
        <v>488</v>
      </c>
      <c r="B748" s="16" t="s">
        <v>489</v>
      </c>
      <c r="C748" s="16"/>
      <c r="D748" s="54">
        <f>D749</f>
        <v>156208</v>
      </c>
      <c r="E748" s="54">
        <f>E749</f>
        <v>0</v>
      </c>
      <c r="F748" s="53">
        <f t="shared" si="11"/>
        <v>156208</v>
      </c>
    </row>
    <row r="749" spans="1:6" s="10" customFormat="1" ht="31.5">
      <c r="A749" s="21" t="s">
        <v>7</v>
      </c>
      <c r="B749" s="16" t="s">
        <v>489</v>
      </c>
      <c r="C749" s="16">
        <v>200</v>
      </c>
      <c r="D749" s="54">
        <f>D750</f>
        <v>156208</v>
      </c>
      <c r="E749" s="54">
        <f>E750</f>
        <v>0</v>
      </c>
      <c r="F749" s="53">
        <f t="shared" si="11"/>
        <v>156208</v>
      </c>
    </row>
    <row r="750" spans="1:6" s="10" customFormat="1" ht="31.5">
      <c r="A750" s="21" t="s">
        <v>8</v>
      </c>
      <c r="B750" s="16" t="s">
        <v>489</v>
      </c>
      <c r="C750" s="16">
        <v>240</v>
      </c>
      <c r="D750" s="54">
        <v>156208</v>
      </c>
      <c r="E750" s="54">
        <v>0</v>
      </c>
      <c r="F750" s="53">
        <f t="shared" si="11"/>
        <v>156208</v>
      </c>
    </row>
    <row r="751" spans="1:6" s="10" customFormat="1" ht="33.75" customHeight="1">
      <c r="A751" s="17" t="s">
        <v>490</v>
      </c>
      <c r="B751" s="16" t="s">
        <v>491</v>
      </c>
      <c r="C751" s="24"/>
      <c r="D751" s="54">
        <f>D752</f>
        <v>70407881</v>
      </c>
      <c r="E751" s="54">
        <f>E752</f>
        <v>2672251</v>
      </c>
      <c r="F751" s="53">
        <f t="shared" si="11"/>
        <v>73080132</v>
      </c>
    </row>
    <row r="752" spans="1:6" s="10" customFormat="1" ht="31.5">
      <c r="A752" s="17" t="s">
        <v>541</v>
      </c>
      <c r="B752" s="16" t="s">
        <v>491</v>
      </c>
      <c r="C752" s="24" t="s">
        <v>492</v>
      </c>
      <c r="D752" s="54">
        <f>D753</f>
        <v>70407881</v>
      </c>
      <c r="E752" s="54">
        <f>E753</f>
        <v>2672251</v>
      </c>
      <c r="F752" s="53">
        <f t="shared" si="11"/>
        <v>73080132</v>
      </c>
    </row>
    <row r="753" spans="1:6" s="10" customFormat="1" ht="16.5">
      <c r="A753" s="17" t="s">
        <v>542</v>
      </c>
      <c r="B753" s="16" t="s">
        <v>491</v>
      </c>
      <c r="C753" s="24" t="s">
        <v>493</v>
      </c>
      <c r="D753" s="54">
        <v>70407881</v>
      </c>
      <c r="E753" s="54">
        <f>744061+1928190</f>
        <v>2672251</v>
      </c>
      <c r="F753" s="53">
        <f t="shared" si="11"/>
        <v>73080132</v>
      </c>
    </row>
    <row r="754" spans="1:6" s="10" customFormat="1" ht="47.25">
      <c r="A754" s="17" t="s">
        <v>494</v>
      </c>
      <c r="B754" s="16" t="s">
        <v>495</v>
      </c>
      <c r="C754" s="24"/>
      <c r="D754" s="54">
        <f>D755</f>
        <v>2134</v>
      </c>
      <c r="E754" s="54">
        <f>E755</f>
        <v>0</v>
      </c>
      <c r="F754" s="53">
        <f t="shared" si="11"/>
        <v>2134</v>
      </c>
    </row>
    <row r="755" spans="1:6" s="10" customFormat="1" ht="31.5">
      <c r="A755" s="21" t="s">
        <v>270</v>
      </c>
      <c r="B755" s="16" t="s">
        <v>495</v>
      </c>
      <c r="C755" s="24" t="s">
        <v>70</v>
      </c>
      <c r="D755" s="54">
        <f>D756</f>
        <v>2134</v>
      </c>
      <c r="E755" s="54">
        <f>E756</f>
        <v>0</v>
      </c>
      <c r="F755" s="53">
        <f t="shared" si="11"/>
        <v>2134</v>
      </c>
    </row>
    <row r="756" spans="1:6" s="10" customFormat="1" ht="31.5">
      <c r="A756" s="21" t="s">
        <v>8</v>
      </c>
      <c r="B756" s="16" t="s">
        <v>495</v>
      </c>
      <c r="C756" s="24" t="s">
        <v>71</v>
      </c>
      <c r="D756" s="54">
        <v>2134</v>
      </c>
      <c r="E756" s="54">
        <v>0</v>
      </c>
      <c r="F756" s="53">
        <f t="shared" si="11"/>
        <v>2134</v>
      </c>
    </row>
    <row r="757" spans="1:6" s="10" customFormat="1" ht="47.25">
      <c r="A757" s="42" t="s">
        <v>496</v>
      </c>
      <c r="B757" s="43" t="s">
        <v>497</v>
      </c>
      <c r="C757" s="43"/>
      <c r="D757" s="55">
        <f>D758</f>
        <v>566247.5</v>
      </c>
      <c r="E757" s="55">
        <f>E758</f>
        <v>0</v>
      </c>
      <c r="F757" s="53">
        <f t="shared" si="11"/>
        <v>566247.5</v>
      </c>
    </row>
    <row r="758" spans="1:6" s="10" customFormat="1" ht="31.5">
      <c r="A758" s="42" t="s">
        <v>7</v>
      </c>
      <c r="B758" s="43" t="s">
        <v>497</v>
      </c>
      <c r="C758" s="43" t="s">
        <v>70</v>
      </c>
      <c r="D758" s="55">
        <f>D759</f>
        <v>566247.5</v>
      </c>
      <c r="E758" s="55">
        <f>E759</f>
        <v>0</v>
      </c>
      <c r="F758" s="53">
        <f t="shared" si="11"/>
        <v>566247.5</v>
      </c>
    </row>
    <row r="759" spans="1:6" s="10" customFormat="1" ht="31.5">
      <c r="A759" s="42" t="s">
        <v>8</v>
      </c>
      <c r="B759" s="43" t="s">
        <v>497</v>
      </c>
      <c r="C759" s="43" t="s">
        <v>71</v>
      </c>
      <c r="D759" s="55">
        <v>566247.5</v>
      </c>
      <c r="E759" s="55">
        <v>0</v>
      </c>
      <c r="F759" s="53">
        <f t="shared" si="11"/>
        <v>566247.5</v>
      </c>
    </row>
    <row r="760" spans="1:6" s="10" customFormat="1" ht="16.5">
      <c r="A760" s="42" t="s">
        <v>498</v>
      </c>
      <c r="B760" s="43" t="s">
        <v>499</v>
      </c>
      <c r="C760" s="43"/>
      <c r="D760" s="55">
        <f>D761</f>
        <v>54218372.29</v>
      </c>
      <c r="E760" s="55">
        <f>E761</f>
        <v>0</v>
      </c>
      <c r="F760" s="53">
        <f t="shared" si="11"/>
        <v>54218372.29</v>
      </c>
    </row>
    <row r="761" spans="1:6" s="10" customFormat="1" ht="31.5">
      <c r="A761" s="21" t="s">
        <v>270</v>
      </c>
      <c r="B761" s="43" t="s">
        <v>499</v>
      </c>
      <c r="C761" s="24" t="s">
        <v>70</v>
      </c>
      <c r="D761" s="55">
        <f>D762</f>
        <v>54218372.29</v>
      </c>
      <c r="E761" s="55">
        <f>E762</f>
        <v>0</v>
      </c>
      <c r="F761" s="53">
        <f t="shared" si="11"/>
        <v>54218372.29</v>
      </c>
    </row>
    <row r="762" spans="1:6" s="10" customFormat="1" ht="31.5">
      <c r="A762" s="21" t="s">
        <v>8</v>
      </c>
      <c r="B762" s="43" t="s">
        <v>499</v>
      </c>
      <c r="C762" s="24" t="s">
        <v>71</v>
      </c>
      <c r="D762" s="55">
        <v>54218372.29</v>
      </c>
      <c r="E762" s="55">
        <v>0</v>
      </c>
      <c r="F762" s="53">
        <f t="shared" si="11"/>
        <v>54218372.29</v>
      </c>
    </row>
    <row r="763" spans="1:6" s="10" customFormat="1" ht="31.5">
      <c r="A763" s="21" t="s">
        <v>500</v>
      </c>
      <c r="B763" s="43" t="s">
        <v>501</v>
      </c>
      <c r="C763" s="24"/>
      <c r="D763" s="55">
        <f>D764</f>
        <v>5422.38</v>
      </c>
      <c r="E763" s="55">
        <f>E764</f>
        <v>0</v>
      </c>
      <c r="F763" s="53">
        <f t="shared" si="11"/>
        <v>5422.38</v>
      </c>
    </row>
    <row r="764" spans="1:6" s="10" customFormat="1" ht="31.5">
      <c r="A764" s="21" t="s">
        <v>270</v>
      </c>
      <c r="B764" s="43" t="s">
        <v>501</v>
      </c>
      <c r="C764" s="24" t="s">
        <v>70</v>
      </c>
      <c r="D764" s="55">
        <f>D765</f>
        <v>5422.38</v>
      </c>
      <c r="E764" s="55">
        <f>E765</f>
        <v>0</v>
      </c>
      <c r="F764" s="53">
        <f t="shared" si="11"/>
        <v>5422.38</v>
      </c>
    </row>
    <row r="765" spans="1:6" s="10" customFormat="1" ht="31.5">
      <c r="A765" s="21" t="s">
        <v>8</v>
      </c>
      <c r="B765" s="43" t="s">
        <v>501</v>
      </c>
      <c r="C765" s="24" t="s">
        <v>71</v>
      </c>
      <c r="D765" s="55">
        <v>5422.38</v>
      </c>
      <c r="E765" s="55">
        <v>0</v>
      </c>
      <c r="F765" s="53">
        <f t="shared" si="11"/>
        <v>5422.38</v>
      </c>
    </row>
    <row r="766" spans="1:6" s="10" customFormat="1" ht="110.25">
      <c r="A766" s="17" t="s">
        <v>502</v>
      </c>
      <c r="B766" s="16" t="s">
        <v>503</v>
      </c>
      <c r="C766" s="16"/>
      <c r="D766" s="54">
        <f>D767</f>
        <v>10000</v>
      </c>
      <c r="E766" s="54">
        <f>E767</f>
        <v>0</v>
      </c>
      <c r="F766" s="53">
        <f t="shared" si="11"/>
        <v>10000</v>
      </c>
    </row>
    <row r="767" spans="1:6" s="10" customFormat="1" ht="31.5">
      <c r="A767" s="17" t="s">
        <v>216</v>
      </c>
      <c r="B767" s="16" t="s">
        <v>503</v>
      </c>
      <c r="C767" s="16">
        <v>400</v>
      </c>
      <c r="D767" s="54">
        <f>D768</f>
        <v>10000</v>
      </c>
      <c r="E767" s="54">
        <f>E768</f>
        <v>0</v>
      </c>
      <c r="F767" s="53">
        <f t="shared" si="11"/>
        <v>10000</v>
      </c>
    </row>
    <row r="768" spans="1:6" s="10" customFormat="1" ht="16.5">
      <c r="A768" s="17" t="s">
        <v>217</v>
      </c>
      <c r="B768" s="16" t="s">
        <v>503</v>
      </c>
      <c r="C768" s="16">
        <v>410</v>
      </c>
      <c r="D768" s="55">
        <f>10000</f>
        <v>10000</v>
      </c>
      <c r="E768" s="55">
        <v>0</v>
      </c>
      <c r="F768" s="53">
        <f t="shared" si="11"/>
        <v>10000</v>
      </c>
    </row>
    <row r="769" spans="1:6" s="10" customFormat="1" ht="47.25">
      <c r="A769" s="20" t="s">
        <v>504</v>
      </c>
      <c r="B769" s="14" t="s">
        <v>505</v>
      </c>
      <c r="C769" s="14"/>
      <c r="D769" s="53">
        <f aca="true" t="shared" si="12" ref="D769:E771">D770</f>
        <v>11418306</v>
      </c>
      <c r="E769" s="53">
        <f t="shared" si="12"/>
        <v>0</v>
      </c>
      <c r="F769" s="53">
        <f t="shared" si="11"/>
        <v>11418306</v>
      </c>
    </row>
    <row r="770" spans="1:6" s="10" customFormat="1" ht="49.5" customHeight="1">
      <c r="A770" s="20" t="s">
        <v>506</v>
      </c>
      <c r="B770" s="14" t="s">
        <v>507</v>
      </c>
      <c r="C770" s="14"/>
      <c r="D770" s="53">
        <f t="shared" si="12"/>
        <v>11418306</v>
      </c>
      <c r="E770" s="53">
        <f t="shared" si="12"/>
        <v>0</v>
      </c>
      <c r="F770" s="53">
        <f t="shared" si="11"/>
        <v>11418306</v>
      </c>
    </row>
    <row r="771" spans="1:6" s="10" customFormat="1" ht="16.5">
      <c r="A771" s="20" t="s">
        <v>508</v>
      </c>
      <c r="B771" s="14" t="s">
        <v>507</v>
      </c>
      <c r="C771" s="14">
        <v>500</v>
      </c>
      <c r="D771" s="53">
        <f t="shared" si="12"/>
        <v>11418306</v>
      </c>
      <c r="E771" s="53">
        <f t="shared" si="12"/>
        <v>0</v>
      </c>
      <c r="F771" s="53">
        <f t="shared" si="11"/>
        <v>11418306</v>
      </c>
    </row>
    <row r="772" spans="1:6" s="10" customFormat="1" ht="16.5">
      <c r="A772" s="20" t="s">
        <v>509</v>
      </c>
      <c r="B772" s="14" t="s">
        <v>507</v>
      </c>
      <c r="C772" s="14">
        <v>540</v>
      </c>
      <c r="D772" s="53">
        <v>11418306</v>
      </c>
      <c r="E772" s="53">
        <v>0</v>
      </c>
      <c r="F772" s="53">
        <f t="shared" si="11"/>
        <v>11418306</v>
      </c>
    </row>
    <row r="773" spans="1:6" s="44" customFormat="1" ht="16.5">
      <c r="A773" s="18" t="s">
        <v>510</v>
      </c>
      <c r="B773" s="14" t="s">
        <v>511</v>
      </c>
      <c r="C773" s="14"/>
      <c r="D773" s="53">
        <f>SUM(D785,D788,D796,D774,D777,D791,D780)</f>
        <v>36824160</v>
      </c>
      <c r="E773" s="53">
        <f>SUM(E785,E788,E796,E774,E777,E791,E780)</f>
        <v>-32032</v>
      </c>
      <c r="F773" s="53">
        <f t="shared" si="11"/>
        <v>36792128</v>
      </c>
    </row>
    <row r="774" spans="1:6" s="44" customFormat="1" ht="47.25">
      <c r="A774" s="18" t="s">
        <v>512</v>
      </c>
      <c r="B774" s="14" t="s">
        <v>513</v>
      </c>
      <c r="C774" s="23"/>
      <c r="D774" s="53">
        <f>D775</f>
        <v>6300000</v>
      </c>
      <c r="E774" s="53">
        <f>E775</f>
        <v>0</v>
      </c>
      <c r="F774" s="53">
        <f t="shared" si="11"/>
        <v>6300000</v>
      </c>
    </row>
    <row r="775" spans="1:6" s="44" customFormat="1" ht="31.5">
      <c r="A775" s="18" t="s">
        <v>541</v>
      </c>
      <c r="B775" s="14" t="s">
        <v>513</v>
      </c>
      <c r="C775" s="14">
        <v>600</v>
      </c>
      <c r="D775" s="53">
        <f>D776</f>
        <v>6300000</v>
      </c>
      <c r="E775" s="53">
        <f>E776</f>
        <v>0</v>
      </c>
      <c r="F775" s="53">
        <f t="shared" si="11"/>
        <v>6300000</v>
      </c>
    </row>
    <row r="776" spans="1:6" s="10" customFormat="1" ht="16.5">
      <c r="A776" s="18" t="s">
        <v>542</v>
      </c>
      <c r="B776" s="14" t="s">
        <v>513</v>
      </c>
      <c r="C776" s="14">
        <v>610</v>
      </c>
      <c r="D776" s="53">
        <v>6300000</v>
      </c>
      <c r="E776" s="53">
        <v>0</v>
      </c>
      <c r="F776" s="53">
        <f t="shared" si="11"/>
        <v>6300000</v>
      </c>
    </row>
    <row r="777" spans="1:6" s="10" customFormat="1" ht="78.75">
      <c r="A777" s="18" t="s">
        <v>514</v>
      </c>
      <c r="B777" s="14" t="s">
        <v>515</v>
      </c>
      <c r="C777" s="23"/>
      <c r="D777" s="53">
        <f>D778</f>
        <v>27000000</v>
      </c>
      <c r="E777" s="53">
        <f>E778</f>
        <v>0</v>
      </c>
      <c r="F777" s="53">
        <f t="shared" si="11"/>
        <v>27000000</v>
      </c>
    </row>
    <row r="778" spans="1:6" s="10" customFormat="1" ht="31.5">
      <c r="A778" s="18" t="s">
        <v>541</v>
      </c>
      <c r="B778" s="14" t="s">
        <v>515</v>
      </c>
      <c r="C778" s="23" t="s">
        <v>492</v>
      </c>
      <c r="D778" s="53">
        <f>D779</f>
        <v>27000000</v>
      </c>
      <c r="E778" s="53">
        <f>E779</f>
        <v>0</v>
      </c>
      <c r="F778" s="53">
        <f t="shared" si="11"/>
        <v>27000000</v>
      </c>
    </row>
    <row r="779" spans="1:6" s="10" customFormat="1" ht="16.5">
      <c r="A779" s="18" t="s">
        <v>542</v>
      </c>
      <c r="B779" s="14" t="s">
        <v>515</v>
      </c>
      <c r="C779" s="23" t="s">
        <v>493</v>
      </c>
      <c r="D779" s="53">
        <v>27000000</v>
      </c>
      <c r="E779" s="53">
        <v>0</v>
      </c>
      <c r="F779" s="53">
        <f t="shared" si="11"/>
        <v>27000000</v>
      </c>
    </row>
    <row r="780" spans="1:6" s="10" customFormat="1" ht="47.25">
      <c r="A780" s="20" t="s">
        <v>516</v>
      </c>
      <c r="B780" s="14" t="s">
        <v>517</v>
      </c>
      <c r="C780" s="23"/>
      <c r="D780" s="26">
        <f>D781+D783</f>
        <v>2036160</v>
      </c>
      <c r="E780" s="26">
        <f>E781+E783</f>
        <v>0</v>
      </c>
      <c r="F780" s="53">
        <f t="shared" si="11"/>
        <v>2036160</v>
      </c>
    </row>
    <row r="781" spans="1:6" s="10" customFormat="1" ht="31.5">
      <c r="A781" s="20" t="s">
        <v>7</v>
      </c>
      <c r="B781" s="14" t="s">
        <v>517</v>
      </c>
      <c r="C781" s="23" t="s">
        <v>70</v>
      </c>
      <c r="D781" s="26">
        <f>D782</f>
        <v>20160</v>
      </c>
      <c r="E781" s="26">
        <f>E782</f>
        <v>0</v>
      </c>
      <c r="F781" s="53">
        <f t="shared" si="11"/>
        <v>20160</v>
      </c>
    </row>
    <row r="782" spans="1:6" s="10" customFormat="1" ht="31.5">
      <c r="A782" s="20" t="s">
        <v>8</v>
      </c>
      <c r="B782" s="14" t="s">
        <v>517</v>
      </c>
      <c r="C782" s="23" t="s">
        <v>71</v>
      </c>
      <c r="D782" s="26">
        <v>20160</v>
      </c>
      <c r="E782" s="26">
        <v>0</v>
      </c>
      <c r="F782" s="53">
        <f t="shared" si="11"/>
        <v>20160</v>
      </c>
    </row>
    <row r="783" spans="1:6" s="10" customFormat="1" ht="16.5">
      <c r="A783" s="18" t="s">
        <v>9</v>
      </c>
      <c r="B783" s="14" t="s">
        <v>517</v>
      </c>
      <c r="C783" s="14">
        <v>300</v>
      </c>
      <c r="D783" s="26">
        <f>D784</f>
        <v>2016000</v>
      </c>
      <c r="E783" s="26">
        <f>E784</f>
        <v>0</v>
      </c>
      <c r="F783" s="53">
        <f t="shared" si="11"/>
        <v>2016000</v>
      </c>
    </row>
    <row r="784" spans="1:6" s="10" customFormat="1" ht="31.5">
      <c r="A784" s="18" t="s">
        <v>10</v>
      </c>
      <c r="B784" s="14" t="s">
        <v>517</v>
      </c>
      <c r="C784" s="14">
        <v>320</v>
      </c>
      <c r="D784" s="26">
        <v>2016000</v>
      </c>
      <c r="E784" s="26">
        <v>0</v>
      </c>
      <c r="F784" s="53">
        <f t="shared" si="11"/>
        <v>2016000</v>
      </c>
    </row>
    <row r="785" spans="1:6" s="10" customFormat="1" ht="31.5">
      <c r="A785" s="18" t="s">
        <v>518</v>
      </c>
      <c r="B785" s="14" t="s">
        <v>519</v>
      </c>
      <c r="C785" s="14"/>
      <c r="D785" s="53">
        <f>D786</f>
        <v>400000</v>
      </c>
      <c r="E785" s="53">
        <f>E786</f>
        <v>0</v>
      </c>
      <c r="F785" s="53">
        <f t="shared" si="11"/>
        <v>400000</v>
      </c>
    </row>
    <row r="786" spans="1:6" s="10" customFormat="1" ht="31.5">
      <c r="A786" s="20" t="s">
        <v>7</v>
      </c>
      <c r="B786" s="14" t="s">
        <v>519</v>
      </c>
      <c r="C786" s="14">
        <v>200</v>
      </c>
      <c r="D786" s="53">
        <f>D787</f>
        <v>400000</v>
      </c>
      <c r="E786" s="53">
        <f>E787</f>
        <v>0</v>
      </c>
      <c r="F786" s="53">
        <f t="shared" si="11"/>
        <v>400000</v>
      </c>
    </row>
    <row r="787" spans="1:6" s="10" customFormat="1" ht="31.5">
      <c r="A787" s="20" t="s">
        <v>8</v>
      </c>
      <c r="B787" s="14" t="s">
        <v>519</v>
      </c>
      <c r="C787" s="14">
        <v>240</v>
      </c>
      <c r="D787" s="53">
        <v>400000</v>
      </c>
      <c r="E787" s="53">
        <v>0</v>
      </c>
      <c r="F787" s="53">
        <f t="shared" si="11"/>
        <v>400000</v>
      </c>
    </row>
    <row r="788" spans="1:6" s="10" customFormat="1" ht="16.5">
      <c r="A788" s="18" t="s">
        <v>520</v>
      </c>
      <c r="B788" s="14" t="s">
        <v>521</v>
      </c>
      <c r="C788" s="14"/>
      <c r="D788" s="53">
        <f>D789</f>
        <v>1000000</v>
      </c>
      <c r="E788" s="53">
        <f>E789</f>
        <v>-81032</v>
      </c>
      <c r="F788" s="53">
        <f t="shared" si="11"/>
        <v>918968</v>
      </c>
    </row>
    <row r="789" spans="1:6" s="10" customFormat="1" ht="16.5">
      <c r="A789" s="20" t="s">
        <v>544</v>
      </c>
      <c r="B789" s="14" t="s">
        <v>521</v>
      </c>
      <c r="C789" s="14">
        <v>800</v>
      </c>
      <c r="D789" s="53">
        <f>D790</f>
        <v>1000000</v>
      </c>
      <c r="E789" s="53">
        <f>E790</f>
        <v>-81032</v>
      </c>
      <c r="F789" s="53">
        <f t="shared" si="11"/>
        <v>918968</v>
      </c>
    </row>
    <row r="790" spans="1:6" s="10" customFormat="1" ht="16.5">
      <c r="A790" s="18" t="s">
        <v>520</v>
      </c>
      <c r="B790" s="14" t="s">
        <v>521</v>
      </c>
      <c r="C790" s="14">
        <v>830</v>
      </c>
      <c r="D790" s="53">
        <v>1000000</v>
      </c>
      <c r="E790" s="53">
        <f>-81032-53897.41+53897.41</f>
        <v>-81032</v>
      </c>
      <c r="F790" s="53">
        <f t="shared" si="11"/>
        <v>918968</v>
      </c>
    </row>
    <row r="791" spans="1:6" s="10" customFormat="1" ht="66" customHeight="1">
      <c r="A791" s="18" t="s">
        <v>522</v>
      </c>
      <c r="B791" s="14" t="s">
        <v>523</v>
      </c>
      <c r="C791" s="14"/>
      <c r="D791" s="53">
        <f>D792+D794</f>
        <v>32000</v>
      </c>
      <c r="E791" s="53">
        <f>E792+E794</f>
        <v>0</v>
      </c>
      <c r="F791" s="53">
        <f t="shared" si="11"/>
        <v>32000</v>
      </c>
    </row>
    <row r="792" spans="1:6" s="44" customFormat="1" ht="31.5">
      <c r="A792" s="20" t="s">
        <v>7</v>
      </c>
      <c r="B792" s="14" t="s">
        <v>523</v>
      </c>
      <c r="C792" s="14">
        <v>200</v>
      </c>
      <c r="D792" s="53">
        <f>D793</f>
        <v>320</v>
      </c>
      <c r="E792" s="53">
        <f>E793</f>
        <v>0</v>
      </c>
      <c r="F792" s="53">
        <f t="shared" si="11"/>
        <v>320</v>
      </c>
    </row>
    <row r="793" spans="1:6" s="10" customFormat="1" ht="31.5">
      <c r="A793" s="20" t="s">
        <v>8</v>
      </c>
      <c r="B793" s="14" t="s">
        <v>523</v>
      </c>
      <c r="C793" s="14">
        <v>240</v>
      </c>
      <c r="D793" s="53">
        <v>320</v>
      </c>
      <c r="E793" s="53">
        <v>0</v>
      </c>
      <c r="F793" s="53">
        <f t="shared" si="11"/>
        <v>320</v>
      </c>
    </row>
    <row r="794" spans="1:6" s="10" customFormat="1" ht="16.5">
      <c r="A794" s="20" t="s">
        <v>9</v>
      </c>
      <c r="B794" s="14" t="s">
        <v>523</v>
      </c>
      <c r="C794" s="14">
        <v>300</v>
      </c>
      <c r="D794" s="53">
        <f>D795</f>
        <v>31680</v>
      </c>
      <c r="E794" s="53">
        <f>E795</f>
        <v>0</v>
      </c>
      <c r="F794" s="53">
        <f t="shared" si="11"/>
        <v>31680</v>
      </c>
    </row>
    <row r="795" spans="1:6" s="10" customFormat="1" ht="31.5">
      <c r="A795" s="20" t="s">
        <v>10</v>
      </c>
      <c r="B795" s="14" t="s">
        <v>523</v>
      </c>
      <c r="C795" s="14">
        <v>320</v>
      </c>
      <c r="D795" s="53">
        <v>31680</v>
      </c>
      <c r="E795" s="53">
        <v>0</v>
      </c>
      <c r="F795" s="53">
        <f t="shared" si="11"/>
        <v>31680</v>
      </c>
    </row>
    <row r="796" spans="1:6" s="10" customFormat="1" ht="47.25">
      <c r="A796" s="18" t="s">
        <v>524</v>
      </c>
      <c r="B796" s="14" t="s">
        <v>525</v>
      </c>
      <c r="C796" s="14"/>
      <c r="D796" s="53">
        <f>D797</f>
        <v>56000</v>
      </c>
      <c r="E796" s="53">
        <f>E797</f>
        <v>49000</v>
      </c>
      <c r="F796" s="53">
        <f t="shared" si="11"/>
        <v>105000</v>
      </c>
    </row>
    <row r="797" spans="1:6" s="10" customFormat="1" ht="31.5">
      <c r="A797" s="20" t="s">
        <v>7</v>
      </c>
      <c r="B797" s="14" t="s">
        <v>525</v>
      </c>
      <c r="C797" s="14">
        <v>200</v>
      </c>
      <c r="D797" s="53">
        <f>D798</f>
        <v>56000</v>
      </c>
      <c r="E797" s="53">
        <f>E798</f>
        <v>49000</v>
      </c>
      <c r="F797" s="53">
        <f t="shared" si="11"/>
        <v>105000</v>
      </c>
    </row>
    <row r="798" spans="1:6" s="10" customFormat="1" ht="31.5">
      <c r="A798" s="20" t="s">
        <v>8</v>
      </c>
      <c r="B798" s="14" t="s">
        <v>525</v>
      </c>
      <c r="C798" s="14">
        <v>240</v>
      </c>
      <c r="D798" s="53">
        <v>56000</v>
      </c>
      <c r="E798" s="53">
        <v>49000</v>
      </c>
      <c r="F798" s="53">
        <f t="shared" si="11"/>
        <v>105000</v>
      </c>
    </row>
    <row r="799" spans="1:6" ht="16.5">
      <c r="A799" s="45" t="s">
        <v>526</v>
      </c>
      <c r="B799" s="46"/>
      <c r="C799" s="47"/>
      <c r="D799" s="48">
        <f>SUM(D7,D131,D218,D231,D256,D392,D431,D444,D457,D504,D515,D543,D569,D606,D619,D626,D630)</f>
        <v>6190698036.930001</v>
      </c>
      <c r="E799" s="48">
        <f>SUM(E7,E131,E218,E231,E256,E392,E431,E444,E457,E504,E515,E543,E569,E606,E619,E626,E630)</f>
        <v>411969211.62000006</v>
      </c>
      <c r="F799" s="52">
        <f t="shared" si="11"/>
        <v>6602667248.550001</v>
      </c>
    </row>
    <row r="802" spans="1:6" s="37" customFormat="1" ht="16.5">
      <c r="A802" s="1"/>
      <c r="B802" s="2"/>
      <c r="C802" s="2"/>
      <c r="D802" s="60"/>
      <c r="E802" s="51"/>
      <c r="F802" s="51"/>
    </row>
    <row r="803" spans="1:6" s="49" customFormat="1" ht="17.25">
      <c r="A803" s="1"/>
      <c r="B803" s="2"/>
      <c r="C803" s="2"/>
      <c r="D803" s="60"/>
      <c r="E803" s="61"/>
      <c r="F803" s="61"/>
    </row>
  </sheetData>
  <sheetProtection selectLockedCells="1" selectUnlockedCells="1"/>
  <mergeCells count="7">
    <mergeCell ref="A3:D3"/>
    <mergeCell ref="A4:F4"/>
    <mergeCell ref="A5:F5"/>
    <mergeCell ref="B1:D1"/>
    <mergeCell ref="E1:F1"/>
    <mergeCell ref="B2:D2"/>
    <mergeCell ref="E2:F2"/>
  </mergeCells>
  <printOptions/>
  <pageMargins left="0.73" right="0.39" top="0.4597222222222222" bottom="0.39375" header="0.5118055555555555" footer="0.15763888888888888"/>
  <pageSetup firstPageNumber="26" useFirstPageNumber="1" fitToHeight="0" fitToWidth="1" horizontalDpi="300" verticalDpi="300" orientation="portrait" paperSize="9" scale="5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2023-09-01T08:46:52Z</cp:lastPrinted>
  <dcterms:modified xsi:type="dcterms:W3CDTF">2023-09-21T05:49:12Z</dcterms:modified>
  <cp:category/>
  <cp:version/>
  <cp:contentType/>
  <cp:contentStatus/>
</cp:coreProperties>
</file>