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Расходы 2022" sheetId="1" r:id="rId1"/>
  </sheets>
  <definedNames>
    <definedName name="_Date_">#REF!</definedName>
    <definedName name="_Otchet_Period_Source__AT_ObjectName">#REF!</definedName>
    <definedName name="_Period_">#REF!</definedName>
    <definedName name="Excel_BuiltIn_Print_Area" localSheetId="0">'Расходы 2022'!#REF!</definedName>
    <definedName name="_xlnm.Print_Titles" localSheetId="0">'Расходы 2022'!$7:$7</definedName>
    <definedName name="_xlnm.Print_Area" localSheetId="0">'Расходы 2022'!$A$1:$F$832</definedName>
  </definedNames>
  <calcPr fullCalcOnLoad="1"/>
</workbook>
</file>

<file path=xl/sharedStrings.xml><?xml version="1.0" encoding="utf-8"?>
<sst xmlns="http://schemas.openxmlformats.org/spreadsheetml/2006/main" count="1739" uniqueCount="563">
  <si>
    <t xml:space="preserve">Распределение бюджетных ассигнований бюджета города Обнинска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2022 год </t>
  </si>
  <si>
    <t>(рублей)</t>
  </si>
  <si>
    <t>Наименование</t>
  </si>
  <si>
    <t>Целевая статья</t>
  </si>
  <si>
    <t>Группы и подгруп-пы видов расходов</t>
  </si>
  <si>
    <t>Утверждено на 2022 год</t>
  </si>
  <si>
    <t>Изменения (увеличение (+), уменьшение (-))</t>
  </si>
  <si>
    <t>Сумма на 2022 год с учетом изменений</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</si>
  <si>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</si>
  <si>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</si>
  <si>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</si>
  <si>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</si>
  <si>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Обеспечение государственных гарантий на получение общедоступного и бесплатного дошкольного образования</t>
  </si>
  <si>
    <t>01 1 01 16020</t>
  </si>
  <si>
    <t>Предоставление субсидий бюджетным, автономным учреждениям и иным некоммерческим организациям</t>
  </si>
  <si>
    <t>Субсидии бюджетным учреждениям</t>
  </si>
  <si>
    <t>Субсидии некоммерческим организациям (за исключением государственных (муниципальных) учреждений)</t>
  </si>
  <si>
    <t>Иные бюджетные ассигнования</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</si>
  <si>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</si>
  <si>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</si>
  <si>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</si>
  <si>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</si>
  <si>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</si>
  <si>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</si>
  <si>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</si>
  <si>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Выплаты компенсации педагогическим работникам МБДОУ за наем (поднаем) жилых помещений</t>
  </si>
  <si>
    <t>01 1 05 10000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</si>
  <si>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</si>
  <si>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</si>
  <si>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Социальное обеспечение и иные выплаты населению</t>
  </si>
  <si>
    <t>Социальные выплаты гражданам, кроме публичных нормативных социальных выплат</t>
  </si>
  <si>
    <t>Подпрограмма "Развитие системы общего образования города Обнинска"</t>
  </si>
  <si>
    <t>01 2 00 00000</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</si>
  <si>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</si>
  <si>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</si>
  <si>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</si>
  <si>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</si>
  <si>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</si>
  <si>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</si>
  <si>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</si>
  <si>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</si>
  <si>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Укрепление материально-технической базы общеобразовательных учреждений (за счет средств областного бюджета на поощрение победителей ежегодного конкурсного отбора лучших общеобразовательных организаций)</t>
  </si>
  <si>
    <t>01 2 04 16101</t>
  </si>
  <si>
    <t>Выплаты компенсации педагогическим работникам МБОУ за наем (поднаем) жилых помещений</t>
  </si>
  <si>
    <t>01 2 05 10000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</si>
  <si>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</si>
  <si>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</si>
  <si>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федерального проекта "Патриотическое воспитание граждан Российской Федерации" национального проекта "Образование")</t>
  </si>
  <si>
    <t>01 2 EВ 5179F</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</si>
  <si>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</si>
  <si>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</si>
  <si>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</si>
  <si>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</si>
  <si>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</si>
  <si>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</si>
  <si>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дополнительной мере социальной поддержки детей военнослужащих и сотрудников некоторых федеральных государственных органов, принимающих участие в специальной военной операции, граждан, добровольно выполняющих задачи в ходе проведения специальной военной операции, граждан Российской Федерации, призванных на военную службу по мобилизации в Вооруженные Силы Российской Федерации"</t>
  </si>
  <si>
    <t>01 3 02 16217</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</si>
  <si>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</si>
  <si>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</si>
  <si>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</si>
  <si>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</si>
  <si>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Субсидии автономным учреждениям</t>
  </si>
  <si>
    <t>Временное трудоустройство обучающихся от 14 до 17 лет в свободное от учебы время</t>
  </si>
  <si>
    <t>01 4 02 10000</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</si>
  <si>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</si>
  <si>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</si>
  <si>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</si>
  <si>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</si>
  <si>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Укрепление материально-технической базы учреждений дополнительного образования</t>
  </si>
  <si>
    <t>01 5 04 10000</t>
  </si>
  <si>
    <t>Подпрограмма "Развитие методической  и профориентационной работы в системе образования города Обнинска"</t>
  </si>
  <si>
    <t>01 6 00 00000</t>
  </si>
  <si>
    <t>Методическое сопровождение совершенствования образовательного процесса в образовательных учреждениях</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</si>
  <si>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</si>
  <si>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</si>
  <si>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</si>
  <si>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</si>
  <si>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</si>
  <si>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</si>
  <si>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</si>
  <si>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</si>
  <si>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</si>
  <si>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</si>
  <si>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</si>
  <si>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200</t>
  </si>
  <si>
    <t>240</t>
  </si>
  <si>
    <t>800</t>
  </si>
  <si>
    <t>Уплата налогов, сборов и иных платежей</t>
  </si>
  <si>
    <t>850</t>
  </si>
  <si>
    <t>Ведение бухгалтерского, налогового и статистического учета в обслуживаемых учреждениях</t>
  </si>
  <si>
    <t>01 7 02 10000</t>
  </si>
  <si>
    <t>Расходы на выплаты персоналу казенных учреждений</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</si>
  <si>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</si>
  <si>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</si>
  <si>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</si>
  <si>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</si>
  <si>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</si>
  <si>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Выплата компенсации  части родительской платы</t>
  </si>
  <si>
    <t>01 7 05 16030</t>
  </si>
  <si>
    <t>Муниципальная программа "Развитие культуры города Обнинска"</t>
  </si>
  <si>
    <t>02 0 00 00000</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</si>
  <si>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</si>
  <si>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</si>
  <si>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 (за счет иных межбюджетных трансфертов на стимулирование муниципальных образований Калужской области, участвующих в конкурсе "Лучшая муниципальная практика развития территорий ТОС")</t>
  </si>
  <si>
    <t>02 1 01 00270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</si>
  <si>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</si>
  <si>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</si>
  <si>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</si>
  <si>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</si>
  <si>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</si>
  <si>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</si>
  <si>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киновидеопоказа и досуговых мероприятий</t>
  </si>
  <si>
    <t>02 1 04 10000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</si>
  <si>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</si>
  <si>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</si>
  <si>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</si>
  <si>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</si>
  <si>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</si>
  <si>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</si>
  <si>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</si>
  <si>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</si>
  <si>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Реконструкция учреждений культуры</t>
  </si>
  <si>
    <t>02 1 09 10000</t>
  </si>
  <si>
    <t>Капитальные вложения в объекты государственной (муниципальной) собственности</t>
  </si>
  <si>
    <t>Бюджетные инвестиции</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</si>
  <si>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</si>
  <si>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</si>
  <si>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</si>
  <si>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</si>
  <si>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</si>
  <si>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</si>
  <si>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Комплектование книжных фондов библиотек (за счет средств субсидии на государственную поддержку отрасли культуры)</t>
  </si>
  <si>
    <t>02 2 04 L5192</t>
  </si>
  <si>
    <t>Обеспечение библиотечно-информационного обслуживания (комплектование книжных фондов библиотек в рамках федерального проекта "Обеспечение качественно нового уровня развития инфраструктуры культуры" национального проекта "Культура")</t>
  </si>
  <si>
    <t>02 2 A1 55192</t>
  </si>
  <si>
    <t xml:space="preserve">Создание виртуальных концертных залов (в рамках федерального проекта "Цифровизация услуг и формирование информационного пространства в сфере культуры" национального проекта "Культура") </t>
  </si>
  <si>
    <t>02 2 A3 54530</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</si>
  <si>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</si>
  <si>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</si>
  <si>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</si>
  <si>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</si>
  <si>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</si>
  <si>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</si>
  <si>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Разработка проектной документации на проведение работ по приспособлению объекта культурного наследия регионального значения "Дом,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 1901,1954 гг." для современного использования (для размещения учреждения культуры)</t>
  </si>
  <si>
    <t>02 3 04 10000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</si>
  <si>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</si>
  <si>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</si>
  <si>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</si>
  <si>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</si>
  <si>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</si>
  <si>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</si>
  <si>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</si>
  <si>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</si>
  <si>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</si>
  <si>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</si>
  <si>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</si>
  <si>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</si>
  <si>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</si>
  <si>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</si>
  <si>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</si>
  <si>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</si>
  <si>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</si>
  <si>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</si>
  <si>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</si>
  <si>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</si>
  <si>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</si>
  <si>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</si>
  <si>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 xml:space="preserve">Осуществление спортивной деятельности по классическому и пляжному волейболу </t>
  </si>
  <si>
    <t>04 0 03 10000</t>
  </si>
  <si>
    <t xml:space="preserve">Поддержка деятельности спортивных организаций, осуществляющих проведение физкультурно-оздоровительных и спортивных мероприятий  </t>
  </si>
  <si>
    <t>04 0 04 10000</t>
  </si>
  <si>
    <t>Обеспечение деятельности муниципальных учреждений, реализующих программы спортивной подготовки (за счет средств областного бюджета на финансовое обеспечение расходных обязательств муниципальных образований Калужской области)</t>
  </si>
  <si>
    <t>04 0 05 00150</t>
  </si>
  <si>
    <t>Обеспечение деятельности муниципальных учреждений, реализующих программы спортивной подготовки (за счет иных межбюджетных трансфертов на поощрение муниципальных образований Калужской области, участвующих в конкурсе "Лучшая муниципальная практика развития территорий ТОС")</t>
  </si>
  <si>
    <t>04 0 05 00270</t>
  </si>
  <si>
    <t>Обеспечение деятельности муниципальных учреждений, реализующих программы спортивной подготовки</t>
  </si>
  <si>
    <t>04 0 05 10000</t>
  </si>
  <si>
    <t>Выплата компенсации работникам муниципальных физкультурно-спортивных организаций за наем (поднаем) жилых помещений</t>
  </si>
  <si>
    <t>04 0 13 10000</t>
  </si>
  <si>
    <t>Приобретение спортивного оборудования и инвентаря для приведения организаций спортивной подготовки в нормативное состояние (в рамках федерального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национального проекта "Демография")</t>
  </si>
  <si>
    <t>04 0 P5 52290</t>
  </si>
  <si>
    <t>Муниципальная программа "Социальная поддержка населения города Обнинска"</t>
  </si>
  <si>
    <t>05 0 00 00000</t>
  </si>
  <si>
    <t xml:space="preserve">Подпрограмма "Дополнительные меры социальной поддержки отдельных категорий граждан, проживающих в городе Обнинске" </t>
  </si>
  <si>
    <t>05 1 00 00000</t>
  </si>
  <si>
    <t>Компенсация оплаты жилищно-коммунальных услуг отдельным категориям граждан</t>
  </si>
  <si>
    <t>05 1 01 52500</t>
  </si>
  <si>
    <t>Публичные нормативные социальные выплаты гражданам</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</si>
  <si>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</si>
  <si>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</si>
  <si>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</si>
  <si>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</si>
  <si>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Обеспечение социальных выплат, пособий, компенсаций детям и семьям с детьми</t>
  </si>
  <si>
    <t>05 1 04 03300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</si>
  <si>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</si>
  <si>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</si>
  <si>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</si>
  <si>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</si>
  <si>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</si>
  <si>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</si>
  <si>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Осуществление деятельности по образованию патронатных семей для граждан пожилого возраста и инвалидов в Калужской области</t>
  </si>
  <si>
    <t>05 1 07 03060</t>
  </si>
  <si>
    <t>Осуществление капитального ремонта индивидуальных жилых домов инвалидов и участников Великой Отечественной войны, тружеников тыла, вдов инвалидов и участников Великой Отечественной войны</t>
  </si>
  <si>
    <t>05 1 11 S3190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</si>
  <si>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</si>
  <si>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</si>
  <si>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</si>
  <si>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</si>
  <si>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</si>
  <si>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</si>
  <si>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</si>
  <si>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</si>
  <si>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</si>
  <si>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</si>
  <si>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Ежемесячная доплата к государственной пенсии лицам, замещавшим муниципальные должности и должности муниципальной службы</t>
  </si>
  <si>
    <t>05 1 17 10000</t>
  </si>
  <si>
    <t xml:space="preserve">Предоставление банных услуг отдельным категориям граждан </t>
  </si>
  <si>
    <t>05 1 20 10000</t>
  </si>
  <si>
    <t>Компенсация отдельным категориям граждан оплаты взноса на капитальный ремонт общего имущества в многоквартирном доме</t>
  </si>
  <si>
    <t>05 1 22 R4620</t>
  </si>
  <si>
    <t>Осуществление ежемесячных выплат на детей в возрасте от трех до семи лет включительно</t>
  </si>
  <si>
    <t>05 1 24 R3020</t>
  </si>
  <si>
    <t>Оказание государственной социальной помощи на основании социального контракта отдельным категориям граждан</t>
  </si>
  <si>
    <t>05 1 25 R4040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</si>
  <si>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</si>
  <si>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</si>
  <si>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</si>
  <si>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</si>
  <si>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резервного фонда Правительства Российской Федерации (в рамках реализации федерального проекта "Финансовая поддержка семей при рождении детей" национального проекта "Демография")</t>
  </si>
  <si>
    <t>05 1 P1 5084F</t>
  </si>
  <si>
    <t>Ежемесячная денежная выплата в связи с рождением (усыновлением) первого ребенка (в рамках реализации федерального проекта "Финансовая поддержка семей при рождении детей" национального проекта "Демография")</t>
  </si>
  <si>
    <t>05 1 P1 55730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</si>
  <si>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</si>
  <si>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</si>
  <si>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</si>
  <si>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</si>
  <si>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</si>
  <si>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</si>
  <si>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</si>
  <si>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</si>
  <si>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</si>
  <si>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</si>
  <si>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Оборудование квартир инвалидов специальными техническими средствами</t>
  </si>
  <si>
    <t>05 2 05 10000</t>
  </si>
  <si>
    <t>Организация работы клубных формирований для пожилых граждан и инвалидов</t>
  </si>
  <si>
    <t>05 2 06 10000</t>
  </si>
  <si>
    <t>Подпрограмма "Жилье в кредит"</t>
  </si>
  <si>
    <t>05 3 00 00000</t>
  </si>
  <si>
    <t xml:space="preserve">Предоставление компенсации гражданам на приобретение жилья </t>
  </si>
  <si>
    <t>05 3 01 10000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</si>
  <si>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</si>
  <si>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</si>
  <si>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</si>
  <si>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</si>
  <si>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</si>
  <si>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</si>
  <si>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</si>
  <si>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</si>
  <si>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</si>
  <si>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</si>
  <si>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</si>
  <si>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</si>
  <si>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</si>
  <si>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</si>
  <si>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автомобильных дорог (за счет средств субсидии на осуществление дорожной деятельности)</t>
  </si>
  <si>
    <t>06 0 01 S5000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</si>
  <si>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</si>
  <si>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</si>
  <si>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 (за счет иных межбюджетных трансфертов на стимулирование муниципальных образований Калужской области, участвующих в конкурсе "Лучшая муниципальная практика развития территорий ТОС")</t>
  </si>
  <si>
    <t>06 0 03 00270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</si>
  <si>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</si>
  <si>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</si>
  <si>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</si>
  <si>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</si>
  <si>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</si>
  <si>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</si>
  <si>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Техническое оснащение улично-дорожной сети города с целью обеспечения безопасности дорожного движения (за счет средств субсидии на осуществление дорожной деятельности)</t>
  </si>
  <si>
    <t>06 0 05 S5000</t>
  </si>
  <si>
    <t>Строительство и реконструкция автомобильных дорог и искусственных сооружений на них</t>
  </si>
  <si>
    <t>06 0 07 10000</t>
  </si>
  <si>
    <t>Реконструкция участка автомобильной дороги ул. Красных Зорь на участке от ООО "Марк-4" до ул. Северная</t>
  </si>
  <si>
    <t>06 0 12 10000</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</si>
  <si>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</si>
  <si>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</si>
  <si>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</si>
  <si>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06 0 R1 85000</t>
  </si>
  <si>
    <t>06 0 R1 L5000</t>
  </si>
  <si>
    <t>Муниципальная программа "Содержание и обслуживание жилищного фонда муниципального образования "Город Обнинск"</t>
  </si>
  <si>
    <t>07 0 00 00000</t>
  </si>
  <si>
    <t>Ремонт и содержание муниципального жилья</t>
  </si>
  <si>
    <t>07 0 01 10000</t>
  </si>
  <si>
    <t>Софинансирование работ по капитальному ремонту многоквартирных домов</t>
  </si>
  <si>
    <t>07 0 02 10000</t>
  </si>
  <si>
    <t>Закупка товаров, работ и услуг для государственных (муниципальных) нужд</t>
  </si>
  <si>
    <t>Обеспечение деятельности аварийно-диспетчерской службы города</t>
  </si>
  <si>
    <t>07 0 03 10000</t>
  </si>
  <si>
    <t>Обеспечение деятельности  по приему оплаты платежей за услуги ЖКХ</t>
  </si>
  <si>
    <t>07 0 04 10000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</si>
  <si>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</si>
  <si>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</si>
  <si>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</si>
  <si>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</si>
  <si>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</si>
  <si>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</si>
  <si>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Ремонт ветхих участков водопроводных сетей</t>
  </si>
  <si>
    <t>08 0 02 10000</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</si>
  <si>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</si>
  <si>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</si>
  <si>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</si>
  <si>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Повышение энергоэффективности малоэтажных домов</t>
  </si>
  <si>
    <t>08 0 04 10000</t>
  </si>
  <si>
    <t>Разработка сводного топливно-энергетического баланса МО "Город Обнинск"</t>
  </si>
  <si>
    <t>08 0 05 10000</t>
  </si>
  <si>
    <t>Муниципальная программа "Благоустройство города Обнинска"</t>
  </si>
  <si>
    <t>09 0 00 00000</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</si>
  <si>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</si>
  <si>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</si>
  <si>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</si>
  <si>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</si>
  <si>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</si>
  <si>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</si>
  <si>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</si>
  <si>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</si>
  <si>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</si>
  <si>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</si>
  <si>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</si>
  <si>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</si>
  <si>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 xml:space="preserve">Строительство и реконструкция существующих  сетей наружного освещения </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</si>
  <si>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</si>
  <si>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</si>
  <si>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</si>
  <si>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</si>
  <si>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</si>
  <si>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Организация и проведение городских мероприятий на территории парков города</t>
  </si>
  <si>
    <t>09 4 02 10000</t>
  </si>
  <si>
    <t>Благоустройство общественной территории в Зоне 2 общественного центра города</t>
  </si>
  <si>
    <t>09 4 03 10000</t>
  </si>
  <si>
    <t>Благоустройство общественной территории в Зоне 2 общественного центра города (осуществление мероприятий по реализации стратегий социально-экономического развития наукоградов Российской Федерации)</t>
  </si>
  <si>
    <t>09 4 03 L5250</t>
  </si>
  <si>
    <t>Подпрограмма "Организация похоронного дела"</t>
  </si>
  <si>
    <t>09 5 00 00000</t>
  </si>
  <si>
    <t>Обеспечение деятельности МКУ "БРУ"</t>
  </si>
  <si>
    <t>09 5 01 10000</t>
  </si>
  <si>
    <t>Благоустройство территорий кладбищ и содержание мест захоронений</t>
  </si>
  <si>
    <t>09 5 03 10000</t>
  </si>
  <si>
    <t>Муниципальная программа "Развитие и модернизация объектов инженерной инфраструктуры города Обнинска"</t>
  </si>
  <si>
    <t>10 0 00 00000</t>
  </si>
  <si>
    <t>Строительство магистрального хозфекального коллектора</t>
  </si>
  <si>
    <t>10 0 01 10000</t>
  </si>
  <si>
    <t>Строительство магистрального хозфекального коллектора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</si>
  <si>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 0 01 L5250</t>
  </si>
  <si>
    <t>Строительство объекта: "Городской магистральный напорный хозфекальный коллектор и КНС-51 в г.Обнинске Калужской области"</t>
  </si>
  <si>
    <t>10 0 05 10000</t>
  </si>
  <si>
    <t>Выполнение мероприятий в связи с выводом из эксплуатации ТЭЦ ФЭИ и реконструкция тепловых сетей</t>
  </si>
  <si>
    <t>10 0 10 10000</t>
  </si>
  <si>
    <t xml:space="preserve">Проектирование и строительство станций очистки воды для скважин Вашутинского и Добринского водозаборов </t>
  </si>
  <si>
    <t>10 0 14 10000</t>
  </si>
  <si>
    <t xml:space="preserve">Проектирование и строительство очистных сооружений ливневых стоков базы по ул. Лесная, 15а </t>
  </si>
  <si>
    <t>10 0 15 10000</t>
  </si>
  <si>
    <t>Осуществление функций МБУ "Управляющая компания систем коммунальной инфраструктуры"</t>
  </si>
  <si>
    <t>10 0 16 10000</t>
  </si>
  <si>
    <t>Муниципальная программа "Обеспечение правопорядка и безопасности населения на территории города Обнинска"</t>
  </si>
  <si>
    <t>11 0 00 00000</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</si>
  <si>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</si>
  <si>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</si>
  <si>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</si>
  <si>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</si>
  <si>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</si>
  <si>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</si>
  <si>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Подпрограмма "Профилактика правонарушений и злоупотреблений наркотиками в муниципальном образовании "Город Обнинск"</t>
  </si>
  <si>
    <t>11 2 00 00000</t>
  </si>
  <si>
    <t>Установка и модернизация систем видеонаблюдения в муниципальных образовательных учреждениях</t>
  </si>
  <si>
    <t>11 2 01 10000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</si>
  <si>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</si>
  <si>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</si>
  <si>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</si>
  <si>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</si>
  <si>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 xml:space="preserve">Проведение мероприятий антинаркотической направленности </t>
  </si>
  <si>
    <t>11 2 04 10000</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</si>
  <si>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</si>
  <si>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</si>
  <si>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</si>
  <si>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</si>
  <si>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</si>
  <si>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</si>
  <si>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</si>
  <si>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12 1 01 10000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</si>
  <si>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</si>
  <si>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</si>
  <si>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</si>
  <si>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</si>
  <si>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</si>
  <si>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</si>
  <si>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</si>
  <si>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</si>
  <si>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</si>
  <si>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</si>
  <si>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</si>
  <si>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</si>
  <si>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</si>
  <si>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</si>
  <si>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</si>
  <si>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</si>
  <si>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</si>
  <si>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</si>
  <si>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</si>
  <si>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</si>
  <si>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</si>
  <si>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</si>
  <si>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 из областного бюджета)</t>
  </si>
  <si>
    <t>13 1 01 S6280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</si>
  <si>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</si>
  <si>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</si>
  <si>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</si>
  <si>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</si>
  <si>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</si>
  <si>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</si>
  <si>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</si>
  <si>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 2 01 S7070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</si>
  <si>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</si>
  <si>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</si>
  <si>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</si>
  <si>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</si>
  <si>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Повышение уровня привлекательности профессиональной деятельности в сфере архитектуры и градостроительства</t>
  </si>
  <si>
    <t>13 2 05 S6233</t>
  </si>
  <si>
    <t>Иные выплаты населению</t>
  </si>
  <si>
    <t>Муниципальная программа «Формирование современной городской среды»</t>
  </si>
  <si>
    <t>15 0 00 00000</t>
  </si>
  <si>
    <t>Благоустройство дворовых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t>
  </si>
  <si>
    <t>15 0 02 10000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</si>
  <si>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</si>
  <si>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55551</t>
  </si>
  <si>
    <t>Муниципальная программа "Развитие туризма в муниципальном образовании "Город Обнинск"</t>
  </si>
  <si>
    <t>16 0 00 00000</t>
  </si>
  <si>
    <t>Развитие приоритетных направлений туризма</t>
  </si>
  <si>
    <t>16 0 01 10000</t>
  </si>
  <si>
    <t>Повышение доступности и популяризация туристических объектов и достопримечательностей МО "Город Обнинск"</t>
  </si>
  <si>
    <t>16 0 02 10000</t>
  </si>
  <si>
    <t>Создание объединенных туристических маршрутов с городами и/или туристическими объектами Калужской области</t>
  </si>
  <si>
    <t>16 0 03 10000</t>
  </si>
  <si>
    <t>Развитие приоритетных направлений внутреннего туризма на территории муниципального образования «Город Обнинск»</t>
  </si>
  <si>
    <t>16 0 04 10000</t>
  </si>
  <si>
    <t>Организация, обеспечение и проведение мероприятий в сфере туризма на территории муниципального образования «Город Обнинск»</t>
  </si>
  <si>
    <t>16 0 05 10000</t>
  </si>
  <si>
    <t>Непрограммные направления расходов</t>
  </si>
  <si>
    <t>70 0 00 00000</t>
  </si>
  <si>
    <t>Обеспечение деятельности органов местного самоуправления</t>
  </si>
  <si>
    <t>70 1 00 00000</t>
  </si>
  <si>
    <t>Стимулирование руководителей исполнительно-распорядительных органов муниципальных образований области</t>
  </si>
  <si>
    <t>70 1 00 00530</t>
  </si>
  <si>
    <t>Формирование и содержание областных архивных фондов</t>
  </si>
  <si>
    <t>70 1 00 00800</t>
  </si>
  <si>
    <t>Организация исполнения полномочий  по обеспечению предоставления гражданам мер социальной поддержки</t>
  </si>
  <si>
    <t>70 1 00 03050</t>
  </si>
  <si>
    <t>Обеспечение деятельности представительного органа муниципального образования "Город Обнинск"</t>
  </si>
  <si>
    <t>70 1 00 11001</t>
  </si>
  <si>
    <t>Обеспечение деятельности Контрольно-счетной палаты муниципального образования "Город Обнинск"</t>
  </si>
  <si>
    <t>70 1 00 11002</t>
  </si>
  <si>
    <t>Обеспечение деятельности исполнительно-распорядительного органа муниципального образования "Город Обнинск"</t>
  </si>
  <si>
    <t>70 1 00 11003</t>
  </si>
  <si>
    <t>Обеспечение деятельности Управления финансов Администрации города Обнинска</t>
  </si>
  <si>
    <t>70 1 00 11004</t>
  </si>
  <si>
    <t>Обеспечение деятельности Комитета по материально-техническому обеспечению Администрации города Обнинска</t>
  </si>
  <si>
    <t>70 1 00 11005</t>
  </si>
  <si>
    <t>Поощрение муниципальных управленческих команд за счет средств областного бюджета</t>
  </si>
  <si>
    <t>70 1 00 55490</t>
  </si>
  <si>
    <t>Осуществление полномочий по государственной регистрации актов гражданского состояния</t>
  </si>
  <si>
    <t>70 1 00 59340</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</si>
  <si>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</si>
  <si>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</si>
  <si>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</si>
  <si>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</si>
  <si>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</si>
  <si>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</si>
  <si>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</si>
  <si>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Расходы за счет резервного фонда Администрации города Обнинска</t>
  </si>
  <si>
    <t>70 2 00 12003</t>
  </si>
  <si>
    <t>Реализация прочих направлений деятельности в сфере установленных функций органов местного самоуправления</t>
  </si>
  <si>
    <t>70 3 00 00000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</si>
  <si>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</si>
  <si>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</si>
  <si>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</si>
  <si>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</si>
  <si>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</si>
  <si>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</si>
  <si>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</si>
  <si>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</si>
  <si>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</si>
  <si>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</si>
  <si>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Проведение отдельных мероприятий по транспорту</t>
  </si>
  <si>
    <t>70 3 00 13006</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</si>
  <si>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</si>
  <si>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</si>
  <si>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</si>
  <si>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</si>
  <si>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</si>
  <si>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</si>
  <si>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 xml:space="preserve">Обследование многоквартирных домов на предмет признания их аварийными и подлежащими сносу. Проектные, подготовительные работы и снос жилых домов, признанных аварийными. </t>
  </si>
  <si>
    <t>70 3 00 13010</t>
  </si>
  <si>
    <t>Предоставление субсидий муниципальным предприятиям города Обнинска Калужской области на финансовое обеспечение затрат, в том числе на увеличение уставного фонда, санацию муниципальных предприятий</t>
  </si>
  <si>
    <t>70 3 00 13011</t>
  </si>
  <si>
    <t>Проведение выборов в представительные органы муниципального образования</t>
  </si>
  <si>
    <t>70 3 00 13012</t>
  </si>
  <si>
    <t>Специальные расходы</t>
  </si>
  <si>
    <t>880</t>
  </si>
  <si>
    <t>Изъятие земельных участков, находящихся в частной собственности, для муниципальных нужд</t>
  </si>
  <si>
    <t>70 3 00 13014</t>
  </si>
  <si>
    <t>Реализация инфраструктурного проекта за счет средств бюджета города</t>
  </si>
  <si>
    <t>70 3 00 13016</t>
  </si>
  <si>
    <t>Единовременный учредительный денежный взнос в автономную некоммерческую организацию, учредителем которой является Администрация города Обнинска</t>
  </si>
  <si>
    <t>70 3 00 13017</t>
  </si>
  <si>
    <t>Расходы непрограммного характера за счет средств межбюджетных трансфертов, не включенные в другие направления расходов</t>
  </si>
  <si>
    <t>70 4 00 00000</t>
  </si>
  <si>
    <t>Расходы на проведение антитеррористических учений</t>
  </si>
  <si>
    <t>70 4 00 00152</t>
  </si>
  <si>
    <t>Единовременные выплаты за особые условия труда и дополнительную нагрузку медицинским работникам, а также водителям скорой медицинской помощи, заболевшим при исполнении должностных обязанностей новой коронавирусной инфекцией COVID-19</t>
  </si>
  <si>
    <t>70 4 00 00154</t>
  </si>
  <si>
    <t>600</t>
  </si>
  <si>
    <t>610</t>
  </si>
  <si>
    <t>70 4 00 00155</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</si>
  <si>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</si>
  <si>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</si>
  <si>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Осуществление государственных полномочий по организации социального обслуживания граждан в Калужской области</t>
  </si>
  <si>
    <t>70 4 00 03410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</si>
  <si>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</si>
  <si>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</si>
  <si>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</si>
  <si>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</si>
  <si>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70 4 00 S6233</t>
  </si>
  <si>
    <t>Реализация инфраструктурного проекта</t>
  </si>
  <si>
    <t>70 4 00 S8110</t>
  </si>
  <si>
    <t>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</si>
  <si>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 4 00 S9030</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</si>
  <si>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</si>
  <si>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</si>
  <si>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осуществление мероприятий по реализации стратегий социально-экономического развития наукоградов Российской Федерации</t>
  </si>
  <si>
    <t>70 5 00 15001</t>
  </si>
  <si>
    <t>Межбюджетные трансферты</t>
  </si>
  <si>
    <t>Иные межбюджетные трансферты</t>
  </si>
  <si>
    <t>Прочие непрограммные направления расходов</t>
  </si>
  <si>
    <t>70 9 00 00000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</si>
  <si>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</si>
  <si>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</si>
  <si>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</si>
  <si>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</si>
  <si>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Дополнительные выплаты за поднаем жилья работникам федеральных государственных учреждений здравоохранения</t>
  </si>
  <si>
    <t>70 9 00 19003</t>
  </si>
  <si>
    <t>Мероприятия по здоровому образу жизни в городе Обнинске</t>
  </si>
  <si>
    <t>70 9 00 19004</t>
  </si>
  <si>
    <t>Исполнение судебных актов</t>
  </si>
  <si>
    <t>70 9 00 19005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</si>
  <si>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</si>
  <si>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</si>
  <si>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Расходы, связанные с организацией и проведением сельскохозяйственных ярмарок выходного дня в городе Обнинске</t>
  </si>
  <si>
    <t>70 9 00 19007</t>
  </si>
  <si>
    <t>Единовременные выплаты за особые условия труда и дополнительную нагрузку медицинским работникам, а также водителям скорой медицинской помощи, заболевшим при исполнении должностных обязанностей новой коронавирусной инфекцией COVID-19 за счет средств местного бюджета</t>
  </si>
  <si>
    <t>70 9 00 19008</t>
  </si>
  <si>
    <t>Единовременная выплата материальной помощи в связи с рождением трех детей</t>
  </si>
  <si>
    <t>70 9 00 19009</t>
  </si>
  <si>
    <t>ВСЕГО</t>
  </si>
  <si>
    <t>Приложение № 3  к решению Обнинского городского Собрания "О внесении изменений в решение Обнинского городского Собрания от 14.12.2021 № 01-21 "О бюджете города Обнинска на 2022 год и плановый период 2023 и 2024 годов"</t>
  </si>
  <si>
    <t>Выплаты стимулирующего характера медицинским работникам, участвующим в проведении вакцинации против новой коронавирусной инфекции COVID-19</t>
  </si>
  <si>
    <t xml:space="preserve">от 27.12.2022 № 01-35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</si>
</sst>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0">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2"/>
      <name val="Arial Cyr"/>
      <family val="0"/>
    </font>
    <font>
      <b/>
      <sz val="16"/>
      <name val="Times New Roman"/>
      <family val="1"/>
    </font>
    <font>
      <sz val="11"/>
      <name val="Times New Roman"/>
      <family val="1"/>
    </font>
    <font>
      <sz val="12"/>
      <name val="Times New Roman"/>
      <family val="1"/>
    </font>
    <font>
      <sz val="12"/>
      <color indexed="8"/>
      <name val="Times New Roman"/>
      <family val="0"/>
    </font>
    <font>
      <b/>
      <sz val="12"/>
      <name val="Times New Roman"/>
      <family val="1"/>
    </font>
    <font>
      <b/>
      <sz val="11"/>
      <name val="Times New Roman"/>
      <family val="1"/>
    </font>
    <font>
      <b/>
      <sz val="10"/>
      <name val="Arial Cyr"/>
      <family val="0"/>
    </font>
    <font>
      <b/>
      <sz val="12.5"/>
      <name val="Arial Cyr"/>
      <family val="0"/>
    </font>
    <font>
      <b/>
      <i/>
      <sz val="10"/>
      <name val="Arial Cyr"/>
      <family val="0"/>
    </font>
    <font>
      <sz val="10"/>
      <name val="Times New Roman"/>
      <family val="1"/>
    </font>
    <font>
      <i/>
      <sz val="10"/>
      <name val="Arial Cyr"/>
      <family val="0"/>
    </font>
    <font>
      <b/>
      <sz val="12"/>
      <color indexed="8"/>
      <name val="Times New Roman"/>
      <family val="1"/>
    </font>
    <font>
      <b/>
      <i/>
      <sz val="12"/>
      <name val="Times New Roman"/>
      <family val="1"/>
    </font>
    <font>
      <sz val="12.5"/>
      <name val="Arial Cyr"/>
      <family val="0"/>
    </font>
    <font>
      <b/>
      <sz val="10"/>
      <name val="Times New Roman"/>
      <family val="1"/>
    </font>
    <font>
      <b/>
      <sz val="12.5"/>
      <name val="Times New Roman"/>
      <family val="1"/>
    </font>
    <font>
      <sz val="12.5"/>
      <name val="Times New Roman"/>
      <family val="1"/>
    </font>
  </fonts>
  <fills count="2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color indexed="63"/>
      </right>
      <top style="thin">
        <color indexed="8"/>
      </top>
      <bottom style="thin">
        <color indexed="8"/>
      </bottom>
    </border>
  </borders>
  <cellStyleXfs count="1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8" borderId="0" applyNumberFormat="0" applyBorder="0" applyAlignment="0" applyProtection="0"/>
    <xf numFmtId="0" fontId="3" fillId="16" borderId="0" applyNumberFormat="0" applyBorder="0" applyAlignment="0" applyProtection="0"/>
    <xf numFmtId="0" fontId="3" fillId="21" borderId="0" applyNumberFormat="0" applyBorder="0" applyAlignment="0" applyProtection="0"/>
    <xf numFmtId="0" fontId="4" fillId="6" borderId="0" applyNumberFormat="0" applyBorder="0" applyAlignment="0" applyProtection="0"/>
    <xf numFmtId="0" fontId="5" fillId="0" borderId="0">
      <alignment/>
      <protection/>
    </xf>
    <xf numFmtId="0" fontId="6" fillId="22" borderId="1" applyNumberFormat="0" applyAlignment="0" applyProtection="0"/>
    <xf numFmtId="0" fontId="7" fillId="23" borderId="2" applyNumberFormat="0" applyAlignment="0" applyProtection="0"/>
    <xf numFmtId="0" fontId="5" fillId="0" borderId="0">
      <alignment/>
      <protection/>
    </xf>
    <xf numFmtId="0" fontId="8" fillId="0" borderId="0" applyNumberFormat="0" applyFill="0" applyBorder="0" applyAlignment="0" applyProtection="0"/>
    <xf numFmtId="0" fontId="9" fillId="7"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1" borderId="0" applyNumberFormat="0" applyBorder="0" applyAlignment="0" applyProtection="0"/>
    <xf numFmtId="0" fontId="0" fillId="4" borderId="7" applyNumberFormat="0" applyAlignment="0" applyProtection="0"/>
    <xf numFmtId="0" fontId="16" fillId="22"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24"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24" borderId="10">
      <alignment/>
      <protection/>
    </xf>
    <xf numFmtId="0" fontId="17" fillId="0" borderId="11">
      <alignment horizontal="center" vertical="center" wrapText="1"/>
      <protection/>
    </xf>
    <xf numFmtId="0" fontId="17" fillId="24"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24"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24" borderId="16">
      <alignment horizontal="center"/>
      <protection/>
    </xf>
    <xf numFmtId="0" fontId="17" fillId="24" borderId="16">
      <alignment horizontal="left"/>
      <protection/>
    </xf>
    <xf numFmtId="49" fontId="22" fillId="0" borderId="20">
      <alignment horizontal="center"/>
      <protection/>
    </xf>
    <xf numFmtId="49" fontId="22" fillId="0" borderId="21">
      <alignment horizontal="center"/>
      <protection/>
    </xf>
    <xf numFmtId="49" fontId="22" fillId="0" borderId="11">
      <alignment horizontal="center"/>
      <protection/>
    </xf>
    <xf numFmtId="49" fontId="23" fillId="0" borderId="11">
      <alignment horizontal="center"/>
      <protection/>
    </xf>
    <xf numFmtId="4" fontId="23" fillId="0" borderId="11">
      <alignment horizontal="right"/>
      <protection/>
    </xf>
    <xf numFmtId="0" fontId="24" fillId="0" borderId="11">
      <alignment vertical="top" wrapText="1"/>
      <protection/>
    </xf>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21" borderId="0" applyNumberFormat="0" applyBorder="0" applyAlignment="0" applyProtection="0"/>
    <xf numFmtId="0" fontId="13" fillId="3" borderId="1" applyNumberFormat="0" applyAlignment="0" applyProtection="0"/>
    <xf numFmtId="0" fontId="16" fillId="24" borderId="8" applyNumberFormat="0" applyAlignment="0" applyProtection="0"/>
    <xf numFmtId="0" fontId="25" fillId="24" borderId="1" applyNumberFormat="0" applyAlignment="0" applyProtection="0"/>
    <xf numFmtId="44" fontId="1" fillId="0" borderId="0" applyFill="0" applyBorder="0" applyAlignment="0" applyProtection="0"/>
    <xf numFmtId="42" fontId="1" fillId="0" borderId="0" applyFill="0" applyBorder="0" applyAlignment="0" applyProtection="0"/>
    <xf numFmtId="0" fontId="26" fillId="0" borderId="22" applyNumberFormat="0" applyFill="0" applyAlignment="0" applyProtection="0"/>
    <xf numFmtId="0" fontId="27" fillId="0" borderId="23" applyNumberFormat="0" applyFill="0" applyAlignment="0" applyProtection="0"/>
    <xf numFmtId="0" fontId="28" fillId="0" borderId="24" applyNumberFormat="0" applyFill="0" applyAlignment="0" applyProtection="0"/>
    <xf numFmtId="0" fontId="28" fillId="0" borderId="0" applyNumberFormat="0" applyFill="0" applyBorder="0" applyAlignment="0" applyProtection="0"/>
    <xf numFmtId="0" fontId="19" fillId="0" borderId="25" applyNumberFormat="0" applyFill="0" applyAlignment="0" applyProtection="0"/>
    <xf numFmtId="0" fontId="7" fillId="23" borderId="2" applyNumberFormat="0" applyAlignment="0" applyProtection="0"/>
    <xf numFmtId="0" fontId="29" fillId="0" borderId="0" applyNumberFormat="0" applyFill="0" applyBorder="0" applyAlignment="0" applyProtection="0"/>
    <xf numFmtId="0" fontId="15" fillId="11" borderId="0" applyNumberFormat="0" applyBorder="0" applyAlignment="0" applyProtection="0"/>
    <xf numFmtId="0" fontId="0" fillId="22" borderId="0">
      <alignment/>
      <protection/>
    </xf>
    <xf numFmtId="0" fontId="1" fillId="22" borderId="0">
      <alignment/>
      <protection/>
    </xf>
    <xf numFmtId="0" fontId="30" fillId="6" borderId="0" applyNumberFormat="0" applyBorder="0" applyAlignment="0" applyProtection="0"/>
    <xf numFmtId="0" fontId="8" fillId="0" borderId="0" applyNumberFormat="0" applyFill="0" applyBorder="0" applyAlignment="0" applyProtection="0"/>
    <xf numFmtId="0" fontId="0" fillId="4" borderId="7" applyNumberFormat="0" applyAlignment="0" applyProtection="0"/>
    <xf numFmtId="9" fontId="1" fillId="0" borderId="0" applyFill="0" applyBorder="0" applyAlignment="0" applyProtection="0"/>
    <xf numFmtId="0" fontId="31" fillId="0" borderId="6" applyNumberFormat="0" applyFill="0" applyAlignment="0" applyProtection="0"/>
    <xf numFmtId="0" fontId="2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9" fillId="7" borderId="0" applyNumberFormat="0" applyBorder="0" applyAlignment="0" applyProtection="0"/>
  </cellStyleXfs>
  <cellXfs count="64">
    <xf numFmtId="0" fontId="0" fillId="0" borderId="0" xfId="0" applyAlignment="1">
      <alignment/>
    </xf>
    <xf numFmtId="0" fontId="32" fillId="0" borderId="0" xfId="0" applyFont="1" applyFill="1" applyAlignment="1">
      <alignment horizontal="left"/>
    </xf>
    <xf numFmtId="0" fontId="32" fillId="0" borderId="0" xfId="0" applyFont="1" applyFill="1" applyAlignment="1">
      <alignment horizontal="center"/>
    </xf>
    <xf numFmtId="0" fontId="0" fillId="0" borderId="0" xfId="0" applyFill="1" applyAlignment="1">
      <alignment horizontal="left"/>
    </xf>
    <xf numFmtId="0" fontId="0" fillId="0" borderId="0" xfId="0" applyFill="1" applyAlignment="1">
      <alignment/>
    </xf>
    <xf numFmtId="0" fontId="33" fillId="0" borderId="0" xfId="0" applyFont="1" applyFill="1" applyBorder="1" applyAlignment="1">
      <alignment horizontal="center" wrapText="1"/>
    </xf>
    <xf numFmtId="0" fontId="34" fillId="0" borderId="0" xfId="0" applyFont="1" applyFill="1" applyBorder="1" applyAlignment="1">
      <alignment wrapText="1"/>
    </xf>
    <xf numFmtId="0" fontId="34"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35" fillId="0" borderId="0" xfId="0" applyFont="1" applyFill="1" applyAlignment="1">
      <alignment/>
    </xf>
    <xf numFmtId="0" fontId="36" fillId="0" borderId="0" xfId="0" applyFont="1" applyFill="1" applyAlignment="1">
      <alignment horizontal="right"/>
    </xf>
    <xf numFmtId="49" fontId="37" fillId="0" borderId="11" xfId="0" applyNumberFormat="1" applyFont="1" applyFill="1" applyBorder="1" applyAlignment="1">
      <alignment horizontal="center" vertical="center" wrapText="1"/>
    </xf>
    <xf numFmtId="49" fontId="38" fillId="0" borderId="11" xfId="0" applyNumberFormat="1" applyFont="1" applyFill="1" applyBorder="1" applyAlignment="1">
      <alignment horizontal="center" vertical="center" wrapText="1"/>
    </xf>
    <xf numFmtId="0" fontId="38" fillId="0" borderId="11" xfId="0" applyFont="1" applyFill="1" applyBorder="1" applyAlignment="1">
      <alignment horizontal="center" vertical="center" wrapText="1"/>
    </xf>
    <xf numFmtId="0" fontId="39" fillId="0" borderId="0" xfId="0" applyFont="1" applyFill="1" applyAlignment="1">
      <alignment horizontal="left"/>
    </xf>
    <xf numFmtId="0" fontId="37" fillId="0" borderId="11" xfId="0" applyFont="1" applyFill="1" applyBorder="1" applyAlignment="1">
      <alignment horizontal="left" wrapText="1"/>
    </xf>
    <xf numFmtId="0" fontId="37" fillId="0" borderId="11" xfId="0" applyFont="1" applyFill="1" applyBorder="1" applyAlignment="1">
      <alignment horizontal="center" wrapText="1"/>
    </xf>
    <xf numFmtId="4" fontId="37" fillId="0" borderId="11" xfId="0" applyNumberFormat="1" applyFont="1" applyFill="1" applyBorder="1" applyAlignment="1">
      <alignment wrapText="1"/>
    </xf>
    <xf numFmtId="0" fontId="40" fillId="0" borderId="0" xfId="0" applyFont="1" applyFill="1" applyAlignment="1">
      <alignment horizontal="left"/>
    </xf>
    <xf numFmtId="0" fontId="35" fillId="0" borderId="11" xfId="0" applyFont="1" applyFill="1" applyBorder="1" applyAlignment="1">
      <alignment wrapText="1"/>
    </xf>
    <xf numFmtId="0" fontId="35" fillId="0" borderId="11" xfId="0" applyFont="1" applyFill="1" applyBorder="1" applyAlignment="1">
      <alignment horizontal="center" wrapText="1"/>
    </xf>
    <xf numFmtId="4" fontId="35" fillId="0" borderId="11" xfId="0" applyNumberFormat="1" applyFont="1" applyFill="1" applyBorder="1" applyAlignment="1">
      <alignment wrapText="1"/>
    </xf>
    <xf numFmtId="0" fontId="0" fillId="0" borderId="0" xfId="0" applyFont="1" applyFill="1" applyAlignment="1">
      <alignment horizontal="left"/>
    </xf>
    <xf numFmtId="0" fontId="35" fillId="0" borderId="11" xfId="0" applyFont="1" applyFill="1" applyBorder="1" applyAlignment="1">
      <alignment horizontal="left" wrapText="1"/>
    </xf>
    <xf numFmtId="4" fontId="35" fillId="0" borderId="11" xfId="0" applyNumberFormat="1" applyFont="1" applyFill="1" applyBorder="1" applyAlignment="1">
      <alignment horizontal="right" wrapText="1"/>
    </xf>
    <xf numFmtId="0" fontId="35" fillId="0" borderId="11" xfId="0" applyNumberFormat="1" applyFont="1" applyFill="1" applyBorder="1" applyAlignment="1">
      <alignment horizontal="left" wrapText="1"/>
    </xf>
    <xf numFmtId="0" fontId="36" fillId="0" borderId="11" xfId="0" applyFont="1" applyFill="1" applyBorder="1" applyAlignment="1">
      <alignment horizontal="left" wrapText="1"/>
    </xf>
    <xf numFmtId="4" fontId="35" fillId="0" borderId="26" xfId="0" applyNumberFormat="1" applyFont="1" applyFill="1" applyBorder="1" applyAlignment="1">
      <alignment wrapText="1"/>
    </xf>
    <xf numFmtId="4" fontId="35" fillId="0" borderId="11" xfId="0" applyNumberFormat="1" applyFont="1" applyFill="1" applyBorder="1" applyAlignment="1">
      <alignment/>
    </xf>
    <xf numFmtId="49" fontId="35" fillId="0" borderId="11" xfId="0" applyNumberFormat="1" applyFont="1" applyFill="1" applyBorder="1" applyAlignment="1">
      <alignment horizontal="left" wrapText="1"/>
    </xf>
    <xf numFmtId="49" fontId="35" fillId="0" borderId="11" xfId="0" applyNumberFormat="1" applyFont="1" applyFill="1" applyBorder="1" applyAlignment="1">
      <alignment horizontal="center" wrapText="1"/>
    </xf>
    <xf numFmtId="0" fontId="41" fillId="0" borderId="0" xfId="0" applyFont="1" applyFill="1" applyAlignment="1">
      <alignment horizontal="left"/>
    </xf>
    <xf numFmtId="4" fontId="36" fillId="0" borderId="11" xfId="99" applyNumberFormat="1" applyFont="1" applyFill="1" applyBorder="1" applyProtection="1">
      <alignment horizontal="right" vertical="top" shrinkToFit="1"/>
      <protection locked="0"/>
    </xf>
    <xf numFmtId="0" fontId="36" fillId="0" borderId="11" xfId="110" applyNumberFormat="1" applyFont="1" applyFill="1" applyProtection="1">
      <alignment vertical="top" wrapText="1"/>
      <protection/>
    </xf>
    <xf numFmtId="0" fontId="36" fillId="0" borderId="11" xfId="130" applyFont="1" applyFill="1" applyBorder="1" applyAlignment="1">
      <alignment vertical="top" wrapText="1"/>
      <protection/>
    </xf>
    <xf numFmtId="4" fontId="35" fillId="0" borderId="26" xfId="0" applyNumberFormat="1" applyFont="1" applyFill="1" applyBorder="1" applyAlignment="1">
      <alignment horizontal="right" wrapText="1"/>
    </xf>
    <xf numFmtId="0" fontId="35" fillId="0" borderId="11" xfId="0" applyFont="1" applyFill="1" applyBorder="1" applyAlignment="1">
      <alignment horizontal="justify" wrapText="1"/>
    </xf>
    <xf numFmtId="0" fontId="42" fillId="0" borderId="0" xfId="0" applyFont="1" applyFill="1" applyAlignment="1">
      <alignment horizontal="left"/>
    </xf>
    <xf numFmtId="0" fontId="43" fillId="0" borderId="0" xfId="0" applyFont="1" applyFill="1" applyAlignment="1">
      <alignment horizontal="left"/>
    </xf>
    <xf numFmtId="0" fontId="35" fillId="0" borderId="21" xfId="0" applyFont="1" applyFill="1" applyBorder="1" applyAlignment="1">
      <alignment horizontal="left" wrapText="1"/>
    </xf>
    <xf numFmtId="49" fontId="35" fillId="0" borderId="21" xfId="0" applyNumberFormat="1" applyFont="1" applyFill="1" applyBorder="1" applyAlignment="1">
      <alignment horizontal="center" wrapText="1"/>
    </xf>
    <xf numFmtId="0" fontId="35" fillId="0" borderId="21" xfId="0" applyFont="1" applyFill="1" applyBorder="1" applyAlignment="1">
      <alignment horizontal="center" wrapText="1"/>
    </xf>
    <xf numFmtId="4" fontId="35" fillId="0" borderId="21" xfId="0" applyNumberFormat="1" applyFont="1" applyFill="1" applyBorder="1" applyAlignment="1">
      <alignment wrapText="1"/>
    </xf>
    <xf numFmtId="49" fontId="38" fillId="0" borderId="11" xfId="0" applyNumberFormat="1" applyFont="1" applyFill="1" applyBorder="1" applyAlignment="1">
      <alignment horizontal="center" wrapText="1"/>
    </xf>
    <xf numFmtId="0" fontId="44" fillId="0" borderId="11" xfId="0" applyFont="1" applyFill="1" applyBorder="1" applyAlignment="1">
      <alignment horizontal="left" wrapText="1"/>
    </xf>
    <xf numFmtId="4" fontId="37" fillId="0" borderId="11" xfId="0" applyNumberFormat="1" applyFont="1" applyFill="1" applyBorder="1" applyAlignment="1">
      <alignment horizontal="right" wrapText="1"/>
    </xf>
    <xf numFmtId="4" fontId="35" fillId="0" borderId="11" xfId="0" applyNumberFormat="1" applyFont="1" applyFill="1" applyBorder="1" applyAlignment="1">
      <alignment horizontal="right"/>
    </xf>
    <xf numFmtId="0" fontId="35" fillId="0" borderId="26" xfId="0" applyFont="1" applyFill="1" applyBorder="1" applyAlignment="1">
      <alignment horizontal="center" wrapText="1"/>
    </xf>
    <xf numFmtId="0" fontId="36" fillId="0" borderId="11" xfId="0" applyNumberFormat="1" applyFont="1" applyFill="1" applyBorder="1" applyAlignment="1">
      <alignment horizontal="left" wrapText="1"/>
    </xf>
    <xf numFmtId="0" fontId="37" fillId="0" borderId="11" xfId="0" applyFont="1" applyFill="1" applyBorder="1" applyAlignment="1">
      <alignment horizontal="justify" wrapText="1"/>
    </xf>
    <xf numFmtId="49" fontId="45" fillId="0" borderId="11" xfId="0" applyNumberFormat="1" applyFont="1" applyFill="1" applyBorder="1" applyAlignment="1">
      <alignment horizontal="center" wrapText="1"/>
    </xf>
    <xf numFmtId="4" fontId="37" fillId="0" borderId="11" xfId="0" applyNumberFormat="1" applyFont="1" applyFill="1" applyBorder="1" applyAlignment="1">
      <alignment/>
    </xf>
    <xf numFmtId="0" fontId="36" fillId="0" borderId="11" xfId="98" applyFont="1" applyFill="1" applyAlignment="1" applyProtection="1">
      <alignment wrapText="1"/>
      <protection/>
    </xf>
    <xf numFmtId="49" fontId="36" fillId="0" borderId="11" xfId="89" applyFont="1" applyFill="1" applyAlignment="1" applyProtection="1">
      <alignment horizontal="center" shrinkToFit="1"/>
      <protection/>
    </xf>
    <xf numFmtId="0" fontId="36" fillId="0" borderId="11" xfId="131" applyFont="1" applyFill="1" applyBorder="1" applyAlignment="1">
      <alignment horizontal="left" vertical="top" wrapText="1"/>
      <protection/>
    </xf>
    <xf numFmtId="0" fontId="46" fillId="0" borderId="0" xfId="0" applyFont="1" applyFill="1" applyAlignment="1">
      <alignment/>
    </xf>
    <xf numFmtId="0" fontId="47" fillId="0" borderId="0" xfId="0" applyFont="1" applyFill="1" applyAlignment="1">
      <alignment horizontal="left"/>
    </xf>
    <xf numFmtId="0" fontId="48" fillId="0" borderId="11" xfId="0" applyFont="1" applyFill="1" applyBorder="1" applyAlignment="1">
      <alignment/>
    </xf>
    <xf numFmtId="0" fontId="49" fillId="0" borderId="11" xfId="0" applyFont="1" applyFill="1" applyBorder="1" applyAlignment="1">
      <alignment/>
    </xf>
    <xf numFmtId="0" fontId="49" fillId="0" borderId="11" xfId="0" applyFont="1" applyFill="1" applyBorder="1" applyAlignment="1">
      <alignment/>
    </xf>
    <xf numFmtId="4" fontId="48" fillId="0" borderId="11" xfId="0" applyNumberFormat="1" applyFont="1" applyFill="1" applyBorder="1" applyAlignment="1">
      <alignment/>
    </xf>
    <xf numFmtId="0" fontId="34" fillId="0" borderId="0" xfId="0" applyFont="1" applyFill="1" applyBorder="1" applyAlignment="1">
      <alignment horizontal="left" wrapText="1"/>
    </xf>
    <xf numFmtId="0" fontId="34" fillId="0" borderId="0" xfId="0" applyFont="1" applyFill="1" applyBorder="1" applyAlignment="1">
      <alignment horizontal="left" vertical="center" wrapText="1"/>
    </xf>
    <xf numFmtId="0" fontId="33" fillId="0" borderId="0" xfId="0" applyFont="1" applyFill="1" applyBorder="1" applyAlignment="1">
      <alignment horizontal="center" vertical="center" wrapText="1"/>
    </xf>
  </cellXfs>
  <cellStyles count="12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50" xfId="105"/>
    <cellStyle name="xl51" xfId="106"/>
    <cellStyle name="xl52" xfId="107"/>
    <cellStyle name="xl56" xfId="108"/>
    <cellStyle name="xl60" xfId="109"/>
    <cellStyle name="xl61" xfId="110"/>
    <cellStyle name="Акцент1" xfId="111"/>
    <cellStyle name="Акцент2" xfId="112"/>
    <cellStyle name="Акцент3" xfId="113"/>
    <cellStyle name="Акцент4" xfId="114"/>
    <cellStyle name="Акцент5" xfId="115"/>
    <cellStyle name="Акцент6" xfId="116"/>
    <cellStyle name="Ввод " xfId="117"/>
    <cellStyle name="Вывод" xfId="118"/>
    <cellStyle name="Вычисление" xfId="119"/>
    <cellStyle name="Currency" xfId="120"/>
    <cellStyle name="Currency [0]"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Обычный_Лист1" xfId="130"/>
    <cellStyle name="Обычный_Лист1_1" xfId="131"/>
    <cellStyle name="Плохой" xfId="132"/>
    <cellStyle name="Пояснение" xfId="133"/>
    <cellStyle name="Примечание" xfId="134"/>
    <cellStyle name="Percent" xfId="135"/>
    <cellStyle name="Связанная ячейка" xfId="136"/>
    <cellStyle name="Текст предупреждения" xfId="137"/>
    <cellStyle name="Comma" xfId="138"/>
    <cellStyle name="Comma [0]" xfId="139"/>
    <cellStyle name="Хороший"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832"/>
  <sheetViews>
    <sheetView tabSelected="1" zoomScalePageLayoutView="0" workbookViewId="0" topLeftCell="A1">
      <selection activeCell="E1" sqref="E1:F1"/>
    </sheetView>
  </sheetViews>
  <sheetFormatPr defaultColWidth="9.00390625" defaultRowHeight="12.75"/>
  <cols>
    <col min="1" max="1" width="59.625" style="1" customWidth="1"/>
    <col min="2" max="2" width="18.25390625" style="2" customWidth="1"/>
    <col min="3" max="3" width="11.25390625" style="2" customWidth="1"/>
    <col min="4" max="4" width="22.25390625" style="2" customWidth="1"/>
    <col min="5" max="5" width="21.25390625" style="2" customWidth="1"/>
    <col min="6" max="6" width="22.125" style="2" customWidth="1"/>
    <col min="7" max="253" width="8.625" style="3" customWidth="1"/>
    <col min="254" max="16384" width="9.00390625" style="4" customWidth="1"/>
  </cols>
  <sheetData>
    <row r="1" spans="1:6" ht="105" customHeight="1">
      <c r="A1" s="5"/>
      <c r="B1" s="6"/>
      <c r="C1" s="6"/>
      <c r="D1" s="6"/>
      <c r="E1" s="61" t="s">
        <v>560</v>
      </c>
      <c r="F1" s="61"/>
    </row>
    <row r="2" spans="1:6" ht="18.75" customHeight="1">
      <c r="A2" s="5"/>
      <c r="B2" s="7"/>
      <c r="C2" s="7"/>
      <c r="D2" s="7"/>
      <c r="E2" s="62" t="s">
        <v>562</v>
      </c>
      <c r="F2" s="62"/>
    </row>
    <row r="3" spans="1:6" ht="6.75" customHeight="1">
      <c r="A3" s="5"/>
      <c r="B3" s="5"/>
      <c r="C3" s="5"/>
      <c r="D3" s="5"/>
      <c r="E3" s="5"/>
      <c r="F3" s="5"/>
    </row>
    <row r="4" spans="1:6" ht="81" customHeight="1">
      <c r="A4" s="63" t="s">
        <v>0</v>
      </c>
      <c r="B4" s="63"/>
      <c r="C4" s="63"/>
      <c r="D4" s="63"/>
      <c r="E4" s="63"/>
      <c r="F4" s="63"/>
    </row>
    <row r="5" spans="1:6" ht="17.25" customHeight="1">
      <c r="A5" s="8"/>
      <c r="B5" s="8"/>
      <c r="C5" s="8"/>
      <c r="D5" s="8"/>
      <c r="E5" s="8"/>
      <c r="F5" s="8"/>
    </row>
    <row r="6" spans="1:6" ht="15.75">
      <c r="A6" s="9"/>
      <c r="B6" s="9"/>
      <c r="C6" s="9"/>
      <c r="D6" s="9"/>
      <c r="E6" s="9"/>
      <c r="F6" s="10" t="s">
        <v>1</v>
      </c>
    </row>
    <row r="7" spans="1:6" s="14" customFormat="1" ht="66" customHeight="1">
      <c r="A7" s="11" t="s">
        <v>2</v>
      </c>
      <c r="B7" s="12" t="s">
        <v>3</v>
      </c>
      <c r="C7" s="12" t="s">
        <v>4</v>
      </c>
      <c r="D7" s="13" t="s">
        <v>5</v>
      </c>
      <c r="E7" s="13" t="s">
        <v>6</v>
      </c>
      <c r="F7" s="13" t="s">
        <v>7</v>
      </c>
    </row>
    <row r="8" spans="1:6" s="18" customFormat="1" ht="31.5">
      <c r="A8" s="15" t="s">
        <v>8</v>
      </c>
      <c r="B8" s="16" t="s">
        <v>9</v>
      </c>
      <c r="C8" s="16"/>
      <c r="D8" s="17">
        <f>D9+D30+D60+D71+D81+D90+D97</f>
        <v>2091179690.8200002</v>
      </c>
      <c r="E8" s="17">
        <f>E9+E30+E60+E71+E81+E90+E97</f>
        <v>73825696.58</v>
      </c>
      <c r="F8" s="17">
        <f aca="true" t="shared" si="0" ref="F8:F71">SUM(D8:E8)</f>
        <v>2165005387.4</v>
      </c>
    </row>
    <row r="9" spans="1:6" s="22" customFormat="1" ht="31.5">
      <c r="A9" s="19" t="s">
        <v>10</v>
      </c>
      <c r="B9" s="20" t="s">
        <v>11</v>
      </c>
      <c r="C9" s="20"/>
      <c r="D9" s="21">
        <f>SUM(D10,D16,D19,D22,D25)</f>
        <v>782941961.3</v>
      </c>
      <c r="E9" s="21">
        <f>SUM(E10,E16,E19,E22,E25)</f>
        <v>-2153049.8999999985</v>
      </c>
      <c r="F9" s="21">
        <f t="shared" si="0"/>
        <v>780788911.4</v>
      </c>
    </row>
    <row r="10" spans="1:7" ht="31.5">
      <c r="A10" s="19" t="s">
        <v>12</v>
      </c>
      <c r="B10" s="20" t="s">
        <v>13</v>
      </c>
      <c r="C10" s="20"/>
      <c r="D10" s="21">
        <f>SUM(D11,D14)</f>
        <v>476798201.3</v>
      </c>
      <c r="E10" s="21">
        <f>SUM(E11,E14)</f>
        <v>-12945991.899999999</v>
      </c>
      <c r="F10" s="21">
        <f t="shared" si="0"/>
        <v>463852209.40000004</v>
      </c>
      <c r="G10" s="22"/>
    </row>
    <row r="11" spans="1:7" s="14" customFormat="1" ht="31.5">
      <c r="A11" s="23" t="s">
        <v>14</v>
      </c>
      <c r="B11" s="20" t="s">
        <v>13</v>
      </c>
      <c r="C11" s="20">
        <v>600</v>
      </c>
      <c r="D11" s="21">
        <f>SUM(D12:D13)</f>
        <v>469026220.1</v>
      </c>
      <c r="E11" s="21">
        <f>SUM(E12:E13)</f>
        <v>-12590157.7</v>
      </c>
      <c r="F11" s="21">
        <f t="shared" si="0"/>
        <v>456436062.40000004</v>
      </c>
      <c r="G11" s="22"/>
    </row>
    <row r="12" spans="1:7" s="14" customFormat="1" ht="15.75">
      <c r="A12" s="23" t="s">
        <v>15</v>
      </c>
      <c r="B12" s="20" t="s">
        <v>13</v>
      </c>
      <c r="C12" s="20">
        <v>610</v>
      </c>
      <c r="D12" s="24">
        <v>467717454.5</v>
      </c>
      <c r="E12" s="24">
        <v>-12530237.1</v>
      </c>
      <c r="F12" s="21">
        <f t="shared" si="0"/>
        <v>455187217.4</v>
      </c>
      <c r="G12" s="22"/>
    </row>
    <row r="13" spans="1:6" s="14" customFormat="1" ht="47.25">
      <c r="A13" s="23" t="s">
        <v>16</v>
      </c>
      <c r="B13" s="20" t="s">
        <v>13</v>
      </c>
      <c r="C13" s="20">
        <v>630</v>
      </c>
      <c r="D13" s="24">
        <v>1308765.6</v>
      </c>
      <c r="E13" s="24">
        <v>-59920.6</v>
      </c>
      <c r="F13" s="21">
        <f t="shared" si="0"/>
        <v>1248845</v>
      </c>
    </row>
    <row r="14" spans="1:6" s="14" customFormat="1" ht="15.75">
      <c r="A14" s="23" t="s">
        <v>17</v>
      </c>
      <c r="B14" s="20" t="s">
        <v>13</v>
      </c>
      <c r="C14" s="20">
        <v>800</v>
      </c>
      <c r="D14" s="24">
        <f>D15</f>
        <v>7771981.2</v>
      </c>
      <c r="E14" s="24">
        <f>E15</f>
        <v>-355834.2</v>
      </c>
      <c r="F14" s="21">
        <f t="shared" si="0"/>
        <v>7416147</v>
      </c>
    </row>
    <row r="15" spans="1:6" s="14" customFormat="1" ht="63">
      <c r="A15" s="23" t="s">
        <v>18</v>
      </c>
      <c r="B15" s="20" t="s">
        <v>13</v>
      </c>
      <c r="C15" s="20">
        <v>810</v>
      </c>
      <c r="D15" s="24">
        <v>7771981.2</v>
      </c>
      <c r="E15" s="24">
        <v>-355834.2</v>
      </c>
      <c r="F15" s="21">
        <f t="shared" si="0"/>
        <v>7416147</v>
      </c>
    </row>
    <row r="16" spans="1:6" s="14" customFormat="1" ht="47.25">
      <c r="A16" s="19" t="s">
        <v>19</v>
      </c>
      <c r="B16" s="20" t="s">
        <v>20</v>
      </c>
      <c r="C16" s="20"/>
      <c r="D16" s="21">
        <f>D17</f>
        <v>150000000</v>
      </c>
      <c r="E16" s="21">
        <f>E17</f>
        <v>5936000</v>
      </c>
      <c r="F16" s="21">
        <f t="shared" si="0"/>
        <v>155936000</v>
      </c>
    </row>
    <row r="17" spans="1:6" s="14" customFormat="1" ht="31.5">
      <c r="A17" s="23" t="s">
        <v>14</v>
      </c>
      <c r="B17" s="20" t="s">
        <v>20</v>
      </c>
      <c r="C17" s="20">
        <v>600</v>
      </c>
      <c r="D17" s="21">
        <f>D18</f>
        <v>150000000</v>
      </c>
      <c r="E17" s="21">
        <f>E18</f>
        <v>5936000</v>
      </c>
      <c r="F17" s="21">
        <f t="shared" si="0"/>
        <v>155936000</v>
      </c>
    </row>
    <row r="18" spans="1:6" s="22" customFormat="1" ht="15.75">
      <c r="A18" s="23" t="s">
        <v>15</v>
      </c>
      <c r="B18" s="20" t="s">
        <v>20</v>
      </c>
      <c r="C18" s="20">
        <v>610</v>
      </c>
      <c r="D18" s="21">
        <v>150000000</v>
      </c>
      <c r="E18" s="21">
        <f>36000+5900000</f>
        <v>5936000</v>
      </c>
      <c r="F18" s="21">
        <f t="shared" si="0"/>
        <v>155936000</v>
      </c>
    </row>
    <row r="19" spans="1:6" s="14" customFormat="1" ht="78.75">
      <c r="A19" s="25" t="s">
        <v>21</v>
      </c>
      <c r="B19" s="20" t="s">
        <v>22</v>
      </c>
      <c r="C19" s="20"/>
      <c r="D19" s="21">
        <f>D20</f>
        <v>123343760</v>
      </c>
      <c r="E19" s="21">
        <f>E20</f>
        <v>5752942</v>
      </c>
      <c r="F19" s="21">
        <f t="shared" si="0"/>
        <v>129096702</v>
      </c>
    </row>
    <row r="20" spans="1:7" s="14" customFormat="1" ht="31.5">
      <c r="A20" s="23" t="s">
        <v>14</v>
      </c>
      <c r="B20" s="20" t="s">
        <v>22</v>
      </c>
      <c r="C20" s="20">
        <v>600</v>
      </c>
      <c r="D20" s="21">
        <f>D21</f>
        <v>123343760</v>
      </c>
      <c r="E20" s="21">
        <f>E21</f>
        <v>5752942</v>
      </c>
      <c r="F20" s="21">
        <f t="shared" si="0"/>
        <v>129096702</v>
      </c>
      <c r="G20" s="22"/>
    </row>
    <row r="21" spans="1:7" s="14" customFormat="1" ht="15.75">
      <c r="A21" s="23" t="s">
        <v>15</v>
      </c>
      <c r="B21" s="20" t="s">
        <v>22</v>
      </c>
      <c r="C21" s="20">
        <v>610</v>
      </c>
      <c r="D21" s="21">
        <f>6167188+117176572</f>
        <v>123343760</v>
      </c>
      <c r="E21" s="21">
        <v>5752942</v>
      </c>
      <c r="F21" s="21">
        <f t="shared" si="0"/>
        <v>129096702</v>
      </c>
      <c r="G21" s="22"/>
    </row>
    <row r="22" spans="1:7" s="14" customFormat="1" ht="31.5">
      <c r="A22" s="19" t="s">
        <v>23</v>
      </c>
      <c r="B22" s="20" t="s">
        <v>24</v>
      </c>
      <c r="C22" s="20"/>
      <c r="D22" s="21">
        <f>D23</f>
        <v>30800000</v>
      </c>
      <c r="E22" s="21">
        <f>E23</f>
        <v>198000</v>
      </c>
      <c r="F22" s="21">
        <f t="shared" si="0"/>
        <v>30998000</v>
      </c>
      <c r="G22" s="22"/>
    </row>
    <row r="23" spans="1:7" s="14" customFormat="1" ht="31.5">
      <c r="A23" s="23" t="s">
        <v>14</v>
      </c>
      <c r="B23" s="20" t="s">
        <v>24</v>
      </c>
      <c r="C23" s="20">
        <v>600</v>
      </c>
      <c r="D23" s="21">
        <f>D24</f>
        <v>30800000</v>
      </c>
      <c r="E23" s="21">
        <f>E24</f>
        <v>198000</v>
      </c>
      <c r="F23" s="21">
        <f t="shared" si="0"/>
        <v>30998000</v>
      </c>
      <c r="G23" s="22"/>
    </row>
    <row r="24" spans="1:7" s="14" customFormat="1" ht="15.75">
      <c r="A24" s="23" t="s">
        <v>15</v>
      </c>
      <c r="B24" s="20" t="s">
        <v>24</v>
      </c>
      <c r="C24" s="20">
        <v>610</v>
      </c>
      <c r="D24" s="21">
        <v>30800000</v>
      </c>
      <c r="E24" s="21">
        <f>-36000+234000</f>
        <v>198000</v>
      </c>
      <c r="F24" s="21">
        <f t="shared" si="0"/>
        <v>30998000</v>
      </c>
      <c r="G24" s="22"/>
    </row>
    <row r="25" spans="1:7" s="14" customFormat="1" ht="31.5">
      <c r="A25" s="19" t="s">
        <v>25</v>
      </c>
      <c r="B25" s="20" t="s">
        <v>26</v>
      </c>
      <c r="C25" s="20"/>
      <c r="D25" s="21">
        <f>D28+D26</f>
        <v>2000000</v>
      </c>
      <c r="E25" s="21">
        <f>E28+E26</f>
        <v>-1094000</v>
      </c>
      <c r="F25" s="21">
        <f t="shared" si="0"/>
        <v>906000</v>
      </c>
      <c r="G25" s="22"/>
    </row>
    <row r="26" spans="1:6" s="14" customFormat="1" ht="31.5">
      <c r="A26" s="26" t="s">
        <v>27</v>
      </c>
      <c r="B26" s="20" t="s">
        <v>26</v>
      </c>
      <c r="C26" s="20">
        <v>200</v>
      </c>
      <c r="D26" s="21">
        <f>D27</f>
        <v>20000</v>
      </c>
      <c r="E26" s="21">
        <f>E27</f>
        <v>0</v>
      </c>
      <c r="F26" s="21">
        <f t="shared" si="0"/>
        <v>20000</v>
      </c>
    </row>
    <row r="27" spans="1:6" s="14" customFormat="1" ht="31.5">
      <c r="A27" s="26" t="s">
        <v>28</v>
      </c>
      <c r="B27" s="20" t="s">
        <v>26</v>
      </c>
      <c r="C27" s="20">
        <v>240</v>
      </c>
      <c r="D27" s="21">
        <v>20000</v>
      </c>
      <c r="E27" s="21">
        <v>0</v>
      </c>
      <c r="F27" s="21">
        <f t="shared" si="0"/>
        <v>20000</v>
      </c>
    </row>
    <row r="28" spans="1:6" s="14" customFormat="1" ht="15.75">
      <c r="A28" s="23" t="s">
        <v>29</v>
      </c>
      <c r="B28" s="20" t="s">
        <v>26</v>
      </c>
      <c r="C28" s="20">
        <v>300</v>
      </c>
      <c r="D28" s="21">
        <f>D29</f>
        <v>1980000</v>
      </c>
      <c r="E28" s="21">
        <f>E29</f>
        <v>-1094000</v>
      </c>
      <c r="F28" s="21">
        <f t="shared" si="0"/>
        <v>886000</v>
      </c>
    </row>
    <row r="29" spans="1:6" s="14" customFormat="1" ht="31.5">
      <c r="A29" s="23" t="s">
        <v>30</v>
      </c>
      <c r="B29" s="20" t="s">
        <v>26</v>
      </c>
      <c r="C29" s="20">
        <v>320</v>
      </c>
      <c r="D29" s="21">
        <v>1980000</v>
      </c>
      <c r="E29" s="21">
        <f>-880000-214000</f>
        <v>-1094000</v>
      </c>
      <c r="F29" s="21">
        <f t="shared" si="0"/>
        <v>886000</v>
      </c>
    </row>
    <row r="30" spans="1:6" s="14" customFormat="1" ht="31.5">
      <c r="A30" s="19" t="s">
        <v>31</v>
      </c>
      <c r="B30" s="20" t="s">
        <v>32</v>
      </c>
      <c r="C30" s="20"/>
      <c r="D30" s="21">
        <f>SUM(D31,D35,D38,D41,D49,D54,D46,D57)</f>
        <v>1032013960.1</v>
      </c>
      <c r="E30" s="21">
        <f>SUM(E31,E35,E38,E41,E49,E54,E46,E57)</f>
        <v>74881542.68</v>
      </c>
      <c r="F30" s="21">
        <f t="shared" si="0"/>
        <v>1106895502.78</v>
      </c>
    </row>
    <row r="31" spans="1:6" s="14" customFormat="1" ht="31.5">
      <c r="A31" s="19" t="s">
        <v>33</v>
      </c>
      <c r="B31" s="20" t="s">
        <v>34</v>
      </c>
      <c r="C31" s="20"/>
      <c r="D31" s="21">
        <f>D32</f>
        <v>759351448.1</v>
      </c>
      <c r="E31" s="21">
        <f>E32</f>
        <v>52084035.68</v>
      </c>
      <c r="F31" s="21">
        <f t="shared" si="0"/>
        <v>811435483.78</v>
      </c>
    </row>
    <row r="32" spans="1:6" s="14" customFormat="1" ht="31.5">
      <c r="A32" s="23" t="s">
        <v>14</v>
      </c>
      <c r="B32" s="20" t="s">
        <v>34</v>
      </c>
      <c r="C32" s="20">
        <v>600</v>
      </c>
      <c r="D32" s="21">
        <f>D33+D34</f>
        <v>759351448.1</v>
      </c>
      <c r="E32" s="21">
        <f>E33+E34</f>
        <v>52084035.68</v>
      </c>
      <c r="F32" s="21">
        <f t="shared" si="0"/>
        <v>811435483.78</v>
      </c>
    </row>
    <row r="33" spans="1:6" s="14" customFormat="1" ht="15.75">
      <c r="A33" s="23" t="s">
        <v>15</v>
      </c>
      <c r="B33" s="20" t="s">
        <v>34</v>
      </c>
      <c r="C33" s="20">
        <v>610</v>
      </c>
      <c r="D33" s="24">
        <v>722022962</v>
      </c>
      <c r="E33" s="24">
        <f>22939338.78+27958737</f>
        <v>50898075.78</v>
      </c>
      <c r="F33" s="21">
        <f t="shared" si="0"/>
        <v>772921037.78</v>
      </c>
    </row>
    <row r="34" spans="1:6" s="14" customFormat="1" ht="47.25">
      <c r="A34" s="23" t="s">
        <v>16</v>
      </c>
      <c r="B34" s="20" t="s">
        <v>34</v>
      </c>
      <c r="C34" s="20">
        <v>630</v>
      </c>
      <c r="D34" s="24">
        <v>37328486.1</v>
      </c>
      <c r="E34" s="24">
        <v>1185959.9</v>
      </c>
      <c r="F34" s="21">
        <f t="shared" si="0"/>
        <v>38514446</v>
      </c>
    </row>
    <row r="35" spans="1:6" s="14" customFormat="1" ht="47.25">
      <c r="A35" s="19" t="s">
        <v>35</v>
      </c>
      <c r="B35" s="20" t="s">
        <v>36</v>
      </c>
      <c r="C35" s="20"/>
      <c r="D35" s="24">
        <f>D36</f>
        <v>2174472</v>
      </c>
      <c r="E35" s="24">
        <f>E36</f>
        <v>0</v>
      </c>
      <c r="F35" s="21">
        <f t="shared" si="0"/>
        <v>2174472</v>
      </c>
    </row>
    <row r="36" spans="1:6" s="14" customFormat="1" ht="31.5">
      <c r="A36" s="23" t="s">
        <v>14</v>
      </c>
      <c r="B36" s="20" t="s">
        <v>36</v>
      </c>
      <c r="C36" s="20">
        <v>600</v>
      </c>
      <c r="D36" s="24">
        <f>D37</f>
        <v>2174472</v>
      </c>
      <c r="E36" s="24">
        <f>E37</f>
        <v>0</v>
      </c>
      <c r="F36" s="21">
        <f t="shared" si="0"/>
        <v>2174472</v>
      </c>
    </row>
    <row r="37" spans="1:6" s="14" customFormat="1" ht="15.75">
      <c r="A37" s="23" t="s">
        <v>15</v>
      </c>
      <c r="B37" s="20" t="s">
        <v>36</v>
      </c>
      <c r="C37" s="20">
        <v>610</v>
      </c>
      <c r="D37" s="24">
        <v>2174472</v>
      </c>
      <c r="E37" s="24">
        <v>0</v>
      </c>
      <c r="F37" s="21">
        <f t="shared" si="0"/>
        <v>2174472</v>
      </c>
    </row>
    <row r="38" spans="1:6" s="22" customFormat="1" ht="31.5">
      <c r="A38" s="19" t="s">
        <v>37</v>
      </c>
      <c r="B38" s="20" t="s">
        <v>38</v>
      </c>
      <c r="C38" s="20"/>
      <c r="D38" s="21">
        <f>D39</f>
        <v>195000000</v>
      </c>
      <c r="E38" s="21">
        <f>E39</f>
        <v>16214808</v>
      </c>
      <c r="F38" s="21">
        <f t="shared" si="0"/>
        <v>211214808</v>
      </c>
    </row>
    <row r="39" spans="1:6" s="14" customFormat="1" ht="31.5">
      <c r="A39" s="23" t="s">
        <v>14</v>
      </c>
      <c r="B39" s="20" t="s">
        <v>38</v>
      </c>
      <c r="C39" s="20">
        <v>600</v>
      </c>
      <c r="D39" s="21">
        <f>D40</f>
        <v>195000000</v>
      </c>
      <c r="E39" s="21">
        <f>E40</f>
        <v>16214808</v>
      </c>
      <c r="F39" s="21">
        <f t="shared" si="0"/>
        <v>211214808</v>
      </c>
    </row>
    <row r="40" spans="1:6" s="14" customFormat="1" ht="15.75">
      <c r="A40" s="23" t="s">
        <v>15</v>
      </c>
      <c r="B40" s="20" t="s">
        <v>38</v>
      </c>
      <c r="C40" s="20">
        <v>610</v>
      </c>
      <c r="D40" s="21">
        <v>195000000</v>
      </c>
      <c r="E40" s="27">
        <f>4560000-610000+129000+5000000+5000000+2135808</f>
        <v>16214808</v>
      </c>
      <c r="F40" s="21">
        <f t="shared" si="0"/>
        <v>211214808</v>
      </c>
    </row>
    <row r="41" spans="1:6" s="14" customFormat="1" ht="31.5">
      <c r="A41" s="19" t="s">
        <v>39</v>
      </c>
      <c r="B41" s="20" t="s">
        <v>40</v>
      </c>
      <c r="C41" s="20"/>
      <c r="D41" s="21">
        <f>D42+D44</f>
        <v>30700000</v>
      </c>
      <c r="E41" s="21">
        <f>E42+E44</f>
        <v>722580</v>
      </c>
      <c r="F41" s="21">
        <f t="shared" si="0"/>
        <v>31422580</v>
      </c>
    </row>
    <row r="42" spans="1:6" s="14" customFormat="1" ht="31.5">
      <c r="A42" s="26" t="s">
        <v>27</v>
      </c>
      <c r="B42" s="20" t="s">
        <v>40</v>
      </c>
      <c r="C42" s="20">
        <v>200</v>
      </c>
      <c r="D42" s="21">
        <f>D43</f>
        <v>14200000</v>
      </c>
      <c r="E42" s="21">
        <f>E43</f>
        <v>-2655133.2</v>
      </c>
      <c r="F42" s="21">
        <f t="shared" si="0"/>
        <v>11544866.8</v>
      </c>
    </row>
    <row r="43" spans="1:6" s="14" customFormat="1" ht="31.5">
      <c r="A43" s="26" t="s">
        <v>28</v>
      </c>
      <c r="B43" s="20" t="s">
        <v>40</v>
      </c>
      <c r="C43" s="20">
        <v>240</v>
      </c>
      <c r="D43" s="21">
        <v>14200000</v>
      </c>
      <c r="E43" s="21">
        <f>5860000-2000000-600000-683467-150855.22-323999.98-509141-4247670</f>
        <v>-2655133.2</v>
      </c>
      <c r="F43" s="21">
        <f t="shared" si="0"/>
        <v>11544866.8</v>
      </c>
    </row>
    <row r="44" spans="1:6" s="14" customFormat="1" ht="31.5">
      <c r="A44" s="23" t="s">
        <v>14</v>
      </c>
      <c r="B44" s="20" t="s">
        <v>40</v>
      </c>
      <c r="C44" s="20">
        <v>600</v>
      </c>
      <c r="D44" s="21">
        <f>D45</f>
        <v>16500000</v>
      </c>
      <c r="E44" s="21">
        <f>E45</f>
        <v>3377713.2</v>
      </c>
      <c r="F44" s="21">
        <f t="shared" si="0"/>
        <v>19877713.2</v>
      </c>
    </row>
    <row r="45" spans="1:6" s="14" customFormat="1" ht="15.75">
      <c r="A45" s="23" t="s">
        <v>15</v>
      </c>
      <c r="B45" s="20" t="s">
        <v>40</v>
      </c>
      <c r="C45" s="20">
        <v>610</v>
      </c>
      <c r="D45" s="21">
        <v>16500000</v>
      </c>
      <c r="E45" s="21">
        <f>610000+2571000+196713.2</f>
        <v>3377713.2</v>
      </c>
      <c r="F45" s="21">
        <f t="shared" si="0"/>
        <v>19877713.2</v>
      </c>
    </row>
    <row r="46" spans="1:6" s="14" customFormat="1" ht="78.75">
      <c r="A46" s="23" t="s">
        <v>41</v>
      </c>
      <c r="B46" s="20" t="s">
        <v>42</v>
      </c>
      <c r="C46" s="20"/>
      <c r="D46" s="21">
        <f>D47</f>
        <v>0</v>
      </c>
      <c r="E46" s="21">
        <f>E47</f>
        <v>2000000</v>
      </c>
      <c r="F46" s="28">
        <f t="shared" si="0"/>
        <v>2000000</v>
      </c>
    </row>
    <row r="47" spans="1:6" s="14" customFormat="1" ht="31.5">
      <c r="A47" s="23" t="s">
        <v>14</v>
      </c>
      <c r="B47" s="20" t="s">
        <v>42</v>
      </c>
      <c r="C47" s="20">
        <v>600</v>
      </c>
      <c r="D47" s="21">
        <f>D48</f>
        <v>0</v>
      </c>
      <c r="E47" s="21">
        <f>E48</f>
        <v>2000000</v>
      </c>
      <c r="F47" s="28">
        <f t="shared" si="0"/>
        <v>2000000</v>
      </c>
    </row>
    <row r="48" spans="1:6" s="14" customFormat="1" ht="15.75">
      <c r="A48" s="23" t="s">
        <v>15</v>
      </c>
      <c r="B48" s="20" t="s">
        <v>42</v>
      </c>
      <c r="C48" s="20">
        <v>610</v>
      </c>
      <c r="D48" s="21"/>
      <c r="E48" s="21">
        <v>2000000</v>
      </c>
      <c r="F48" s="28">
        <f t="shared" si="0"/>
        <v>2000000</v>
      </c>
    </row>
    <row r="49" spans="1:6" s="14" customFormat="1" ht="31.5">
      <c r="A49" s="19" t="s">
        <v>43</v>
      </c>
      <c r="B49" s="20" t="s">
        <v>44</v>
      </c>
      <c r="C49" s="20"/>
      <c r="D49" s="21">
        <f>D52+D50</f>
        <v>4400000</v>
      </c>
      <c r="E49" s="21">
        <f>E52+E50</f>
        <v>-470000</v>
      </c>
      <c r="F49" s="21">
        <f t="shared" si="0"/>
        <v>3930000</v>
      </c>
    </row>
    <row r="50" spans="1:6" s="14" customFormat="1" ht="31.5">
      <c r="A50" s="26" t="s">
        <v>27</v>
      </c>
      <c r="B50" s="20" t="s">
        <v>44</v>
      </c>
      <c r="C50" s="20">
        <v>200</v>
      </c>
      <c r="D50" s="21">
        <f>D51</f>
        <v>43565</v>
      </c>
      <c r="E50" s="21">
        <f>E51</f>
        <v>0</v>
      </c>
      <c r="F50" s="21">
        <f t="shared" si="0"/>
        <v>43565</v>
      </c>
    </row>
    <row r="51" spans="1:6" s="14" customFormat="1" ht="31.5">
      <c r="A51" s="26" t="s">
        <v>28</v>
      </c>
      <c r="B51" s="20" t="s">
        <v>44</v>
      </c>
      <c r="C51" s="20">
        <v>240</v>
      </c>
      <c r="D51" s="21">
        <v>43565</v>
      </c>
      <c r="E51" s="21">
        <v>0</v>
      </c>
      <c r="F51" s="21">
        <f t="shared" si="0"/>
        <v>43565</v>
      </c>
    </row>
    <row r="52" spans="1:6" s="22" customFormat="1" ht="15.75">
      <c r="A52" s="23" t="s">
        <v>29</v>
      </c>
      <c r="B52" s="20" t="s">
        <v>44</v>
      </c>
      <c r="C52" s="20">
        <v>300</v>
      </c>
      <c r="D52" s="21">
        <f>D53</f>
        <v>4356435</v>
      </c>
      <c r="E52" s="21">
        <f>E53</f>
        <v>-470000</v>
      </c>
      <c r="F52" s="21">
        <f t="shared" si="0"/>
        <v>3886435</v>
      </c>
    </row>
    <row r="53" spans="1:6" s="14" customFormat="1" ht="31.5">
      <c r="A53" s="23" t="s">
        <v>30</v>
      </c>
      <c r="B53" s="20" t="s">
        <v>44</v>
      </c>
      <c r="C53" s="20">
        <v>320</v>
      </c>
      <c r="D53" s="21">
        <v>4356435</v>
      </c>
      <c r="E53" s="21">
        <v>-470000</v>
      </c>
      <c r="F53" s="21">
        <f t="shared" si="0"/>
        <v>3886435</v>
      </c>
    </row>
    <row r="54" spans="1:6" s="14" customFormat="1" ht="47.25">
      <c r="A54" s="23" t="s">
        <v>45</v>
      </c>
      <c r="B54" s="20" t="s">
        <v>46</v>
      </c>
      <c r="C54" s="20"/>
      <c r="D54" s="21">
        <f>D55</f>
        <v>40388040</v>
      </c>
      <c r="E54" s="21">
        <f>E55</f>
        <v>1634349</v>
      </c>
      <c r="F54" s="21">
        <f t="shared" si="0"/>
        <v>42022389</v>
      </c>
    </row>
    <row r="55" spans="1:6" s="14" customFormat="1" ht="31.5">
      <c r="A55" s="23" t="s">
        <v>14</v>
      </c>
      <c r="B55" s="20" t="s">
        <v>46</v>
      </c>
      <c r="C55" s="20">
        <v>600</v>
      </c>
      <c r="D55" s="21">
        <f>D56</f>
        <v>40388040</v>
      </c>
      <c r="E55" s="21">
        <f>E56</f>
        <v>1634349</v>
      </c>
      <c r="F55" s="21">
        <f t="shared" si="0"/>
        <v>42022389</v>
      </c>
    </row>
    <row r="56" spans="1:6" s="14" customFormat="1" ht="15.75">
      <c r="A56" s="23" t="s">
        <v>15</v>
      </c>
      <c r="B56" s="20" t="s">
        <v>46</v>
      </c>
      <c r="C56" s="20">
        <v>610</v>
      </c>
      <c r="D56" s="21">
        <v>40388040</v>
      </c>
      <c r="E56" s="21">
        <v>1634349</v>
      </c>
      <c r="F56" s="21">
        <f t="shared" si="0"/>
        <v>42022389</v>
      </c>
    </row>
    <row r="57" spans="1:6" s="14" customFormat="1" ht="94.5">
      <c r="A57" s="23" t="s">
        <v>47</v>
      </c>
      <c r="B57" s="20" t="s">
        <v>48</v>
      </c>
      <c r="C57" s="20"/>
      <c r="D57" s="21">
        <f>D58</f>
        <v>0</v>
      </c>
      <c r="E57" s="21">
        <f>E58</f>
        <v>2695770</v>
      </c>
      <c r="F57" s="21">
        <f t="shared" si="0"/>
        <v>2695770</v>
      </c>
    </row>
    <row r="58" spans="1:6" s="14" customFormat="1" ht="31.5">
      <c r="A58" s="23" t="s">
        <v>14</v>
      </c>
      <c r="B58" s="20" t="s">
        <v>48</v>
      </c>
      <c r="C58" s="20">
        <v>600</v>
      </c>
      <c r="D58" s="21">
        <f>D59</f>
        <v>0</v>
      </c>
      <c r="E58" s="21">
        <f>E59</f>
        <v>2695770</v>
      </c>
      <c r="F58" s="21">
        <f t="shared" si="0"/>
        <v>2695770</v>
      </c>
    </row>
    <row r="59" spans="1:6" s="14" customFormat="1" ht="15.75">
      <c r="A59" s="23" t="s">
        <v>15</v>
      </c>
      <c r="B59" s="20" t="s">
        <v>48</v>
      </c>
      <c r="C59" s="20">
        <v>610</v>
      </c>
      <c r="D59" s="21">
        <v>0</v>
      </c>
      <c r="E59" s="21">
        <v>2695770</v>
      </c>
      <c r="F59" s="21">
        <f t="shared" si="0"/>
        <v>2695770</v>
      </c>
    </row>
    <row r="60" spans="1:6" s="14" customFormat="1" ht="47.25">
      <c r="A60" s="23" t="s">
        <v>49</v>
      </c>
      <c r="B60" s="20" t="s">
        <v>50</v>
      </c>
      <c r="C60" s="20"/>
      <c r="D60" s="21">
        <f>SUM(D61,D65,D68)</f>
        <v>108155328.41999999</v>
      </c>
      <c r="E60" s="21">
        <f>SUM(E61,E65,E68)</f>
        <v>-658274.9999999998</v>
      </c>
      <c r="F60" s="21">
        <f t="shared" si="0"/>
        <v>107497053.41999999</v>
      </c>
    </row>
    <row r="61" spans="1:6" s="14" customFormat="1" ht="47.25">
      <c r="A61" s="23" t="s">
        <v>51</v>
      </c>
      <c r="B61" s="20" t="s">
        <v>52</v>
      </c>
      <c r="C61" s="20"/>
      <c r="D61" s="21">
        <f>D62</f>
        <v>33000000</v>
      </c>
      <c r="E61" s="21">
        <f>E62</f>
        <v>60817.1</v>
      </c>
      <c r="F61" s="21">
        <f t="shared" si="0"/>
        <v>33060817.1</v>
      </c>
    </row>
    <row r="62" spans="1:6" s="14" customFormat="1" ht="31.5">
      <c r="A62" s="23" t="s">
        <v>14</v>
      </c>
      <c r="B62" s="20" t="s">
        <v>52</v>
      </c>
      <c r="C62" s="20">
        <v>600</v>
      </c>
      <c r="D62" s="21">
        <f>SUM(D63:D64)</f>
        <v>33000000</v>
      </c>
      <c r="E62" s="21">
        <f>SUM(E63:E64)</f>
        <v>60817.1</v>
      </c>
      <c r="F62" s="21">
        <f t="shared" si="0"/>
        <v>33060817.1</v>
      </c>
    </row>
    <row r="63" spans="1:6" s="14" customFormat="1" ht="15.75">
      <c r="A63" s="23" t="s">
        <v>15</v>
      </c>
      <c r="B63" s="20" t="s">
        <v>52</v>
      </c>
      <c r="C63" s="20">
        <v>610</v>
      </c>
      <c r="D63" s="21">
        <v>31000000</v>
      </c>
      <c r="E63" s="21">
        <v>60816.68</v>
      </c>
      <c r="F63" s="21">
        <f t="shared" si="0"/>
        <v>31060816.68</v>
      </c>
    </row>
    <row r="64" spans="1:6" s="14" customFormat="1" ht="47.25">
      <c r="A64" s="23" t="s">
        <v>16</v>
      </c>
      <c r="B64" s="20" t="s">
        <v>52</v>
      </c>
      <c r="C64" s="20">
        <v>630</v>
      </c>
      <c r="D64" s="21">
        <v>2000000</v>
      </c>
      <c r="E64" s="21">
        <v>0.42</v>
      </c>
      <c r="F64" s="21">
        <f t="shared" si="0"/>
        <v>2000000.42</v>
      </c>
    </row>
    <row r="65" spans="1:6" s="14" customFormat="1" ht="63">
      <c r="A65" s="23" t="s">
        <v>53</v>
      </c>
      <c r="B65" s="20" t="s">
        <v>54</v>
      </c>
      <c r="C65" s="20"/>
      <c r="D65" s="21">
        <f>D66</f>
        <v>75155328.41999999</v>
      </c>
      <c r="E65" s="21">
        <f>E66</f>
        <v>-1216342.0999999999</v>
      </c>
      <c r="F65" s="21">
        <f t="shared" si="0"/>
        <v>73938986.32</v>
      </c>
    </row>
    <row r="66" spans="1:6" s="14" customFormat="1" ht="31.5">
      <c r="A66" s="23" t="s">
        <v>14</v>
      </c>
      <c r="B66" s="20" t="s">
        <v>54</v>
      </c>
      <c r="C66" s="20">
        <v>600</v>
      </c>
      <c r="D66" s="21">
        <f>D67</f>
        <v>75155328.41999999</v>
      </c>
      <c r="E66" s="21">
        <f>E67</f>
        <v>-1216342.0999999999</v>
      </c>
      <c r="F66" s="21">
        <f t="shared" si="0"/>
        <v>73938986.32</v>
      </c>
    </row>
    <row r="67" spans="1:6" s="14" customFormat="1" ht="15.75">
      <c r="A67" s="23" t="s">
        <v>15</v>
      </c>
      <c r="B67" s="20" t="s">
        <v>54</v>
      </c>
      <c r="C67" s="20">
        <v>610</v>
      </c>
      <c r="D67" s="21">
        <f>3639539.21+69151245+2246317+118227.21</f>
        <v>75155328.41999999</v>
      </c>
      <c r="E67" s="21">
        <f>-0.42-1155525-60816.68</f>
        <v>-1216342.0999999999</v>
      </c>
      <c r="F67" s="21">
        <f t="shared" si="0"/>
        <v>73938986.32</v>
      </c>
    </row>
    <row r="68" spans="1:6" s="14" customFormat="1" ht="204.75">
      <c r="A68" s="25" t="s">
        <v>55</v>
      </c>
      <c r="B68" s="20" t="s">
        <v>56</v>
      </c>
      <c r="C68" s="20"/>
      <c r="D68" s="21">
        <f>D69</f>
        <v>0</v>
      </c>
      <c r="E68" s="21">
        <f>E69</f>
        <v>497250</v>
      </c>
      <c r="F68" s="21">
        <f t="shared" si="0"/>
        <v>497250</v>
      </c>
    </row>
    <row r="69" spans="1:6" s="14" customFormat="1" ht="31.5">
      <c r="A69" s="23" t="s">
        <v>14</v>
      </c>
      <c r="B69" s="20" t="s">
        <v>56</v>
      </c>
      <c r="C69" s="20">
        <v>600</v>
      </c>
      <c r="D69" s="21">
        <f>D70</f>
        <v>0</v>
      </c>
      <c r="E69" s="21">
        <f>E70</f>
        <v>497250</v>
      </c>
      <c r="F69" s="21">
        <f t="shared" si="0"/>
        <v>497250</v>
      </c>
    </row>
    <row r="70" spans="1:6" s="14" customFormat="1" ht="15.75">
      <c r="A70" s="23" t="s">
        <v>15</v>
      </c>
      <c r="B70" s="20" t="s">
        <v>56</v>
      </c>
      <c r="C70" s="20">
        <v>610</v>
      </c>
      <c r="D70" s="21">
        <v>0</v>
      </c>
      <c r="E70" s="21">
        <v>497250</v>
      </c>
      <c r="F70" s="21">
        <f t="shared" si="0"/>
        <v>497250</v>
      </c>
    </row>
    <row r="71" spans="1:6" s="14" customFormat="1" ht="31.5">
      <c r="A71" s="23" t="s">
        <v>57</v>
      </c>
      <c r="B71" s="20" t="s">
        <v>58</v>
      </c>
      <c r="C71" s="20"/>
      <c r="D71" s="21">
        <f>D72+D78</f>
        <v>14346329</v>
      </c>
      <c r="E71" s="21">
        <f>E72+E78</f>
        <v>-772509.1999999993</v>
      </c>
      <c r="F71" s="21">
        <f t="shared" si="0"/>
        <v>13573819.8</v>
      </c>
    </row>
    <row r="72" spans="1:6" s="14" customFormat="1" ht="31.5">
      <c r="A72" s="23" t="s">
        <v>59</v>
      </c>
      <c r="B72" s="20" t="s">
        <v>60</v>
      </c>
      <c r="C72" s="20"/>
      <c r="D72" s="21">
        <f>D73+D75</f>
        <v>11796329</v>
      </c>
      <c r="E72" s="21">
        <f>E73+E75</f>
        <v>-772509.1999999993</v>
      </c>
      <c r="F72" s="21">
        <f aca="true" t="shared" si="1" ref="F72:F135">SUM(D72:E72)</f>
        <v>11023819.8</v>
      </c>
    </row>
    <row r="73" spans="1:6" s="14" customFormat="1" ht="31.5">
      <c r="A73" s="26" t="s">
        <v>27</v>
      </c>
      <c r="B73" s="20" t="s">
        <v>60</v>
      </c>
      <c r="C73" s="20">
        <v>200</v>
      </c>
      <c r="D73" s="21">
        <f>D74</f>
        <v>11796329</v>
      </c>
      <c r="E73" s="21">
        <f>E74</f>
        <v>-11652329</v>
      </c>
      <c r="F73" s="21">
        <f t="shared" si="1"/>
        <v>144000</v>
      </c>
    </row>
    <row r="74" spans="1:6" s="14" customFormat="1" ht="31.5">
      <c r="A74" s="26" t="s">
        <v>28</v>
      </c>
      <c r="B74" s="20" t="s">
        <v>60</v>
      </c>
      <c r="C74" s="20">
        <v>240</v>
      </c>
      <c r="D74" s="21">
        <f>9500000+2296329</f>
        <v>11796329</v>
      </c>
      <c r="E74" s="21">
        <f>-11646329-6000</f>
        <v>-11652329</v>
      </c>
      <c r="F74" s="21">
        <f t="shared" si="1"/>
        <v>144000</v>
      </c>
    </row>
    <row r="75" spans="1:6" s="14" customFormat="1" ht="31.5">
      <c r="A75" s="23" t="s">
        <v>14</v>
      </c>
      <c r="B75" s="20" t="s">
        <v>60</v>
      </c>
      <c r="C75" s="20">
        <v>600</v>
      </c>
      <c r="D75" s="21">
        <f>D76+D77</f>
        <v>0</v>
      </c>
      <c r="E75" s="21">
        <f>E76+E77</f>
        <v>10879819.8</v>
      </c>
      <c r="F75" s="21">
        <f t="shared" si="1"/>
        <v>10879819.8</v>
      </c>
    </row>
    <row r="76" spans="1:6" s="14" customFormat="1" ht="15.75">
      <c r="A76" s="23" t="s">
        <v>15</v>
      </c>
      <c r="B76" s="20" t="s">
        <v>60</v>
      </c>
      <c r="C76" s="20">
        <v>610</v>
      </c>
      <c r="D76" s="21">
        <v>0</v>
      </c>
      <c r="E76" s="21">
        <f>10334585-1120-301569.2</f>
        <v>10031895.8</v>
      </c>
      <c r="F76" s="21">
        <f t="shared" si="1"/>
        <v>10031895.8</v>
      </c>
    </row>
    <row r="77" spans="1:6" s="14" customFormat="1" ht="15.75">
      <c r="A77" s="23" t="s">
        <v>61</v>
      </c>
      <c r="B77" s="20" t="s">
        <v>60</v>
      </c>
      <c r="C77" s="20">
        <v>620</v>
      </c>
      <c r="D77" s="21">
        <v>0</v>
      </c>
      <c r="E77" s="21">
        <f>1311744-341796-122024</f>
        <v>847924</v>
      </c>
      <c r="F77" s="21">
        <f t="shared" si="1"/>
        <v>847924</v>
      </c>
    </row>
    <row r="78" spans="1:6" s="14" customFormat="1" ht="31.5">
      <c r="A78" s="23" t="s">
        <v>62</v>
      </c>
      <c r="B78" s="20" t="s">
        <v>63</v>
      </c>
      <c r="C78" s="20"/>
      <c r="D78" s="21">
        <f>D79</f>
        <v>2550000</v>
      </c>
      <c r="E78" s="21">
        <f>E79</f>
        <v>0</v>
      </c>
      <c r="F78" s="21">
        <f t="shared" si="1"/>
        <v>2550000</v>
      </c>
    </row>
    <row r="79" spans="1:6" s="14" customFormat="1" ht="31.5">
      <c r="A79" s="23" t="s">
        <v>14</v>
      </c>
      <c r="B79" s="20" t="s">
        <v>63</v>
      </c>
      <c r="C79" s="20">
        <v>600</v>
      </c>
      <c r="D79" s="24">
        <f>D80</f>
        <v>2550000</v>
      </c>
      <c r="E79" s="24">
        <f>E80</f>
        <v>0</v>
      </c>
      <c r="F79" s="21">
        <f t="shared" si="1"/>
        <v>2550000</v>
      </c>
    </row>
    <row r="80" spans="1:6" s="14" customFormat="1" ht="15.75">
      <c r="A80" s="23" t="s">
        <v>15</v>
      </c>
      <c r="B80" s="20" t="s">
        <v>63</v>
      </c>
      <c r="C80" s="20">
        <v>610</v>
      </c>
      <c r="D80" s="24">
        <v>2550000</v>
      </c>
      <c r="E80" s="24">
        <v>0</v>
      </c>
      <c r="F80" s="21">
        <f t="shared" si="1"/>
        <v>2550000</v>
      </c>
    </row>
    <row r="81" spans="1:6" s="14" customFormat="1" ht="31.5">
      <c r="A81" s="23" t="s">
        <v>64</v>
      </c>
      <c r="B81" s="20" t="s">
        <v>65</v>
      </c>
      <c r="C81" s="20"/>
      <c r="D81" s="21">
        <f>SUM(D82,D86)</f>
        <v>72100000</v>
      </c>
      <c r="E81" s="21">
        <f>SUM(E82,E86)</f>
        <v>2854000</v>
      </c>
      <c r="F81" s="21">
        <f t="shared" si="1"/>
        <v>74954000</v>
      </c>
    </row>
    <row r="82" spans="1:6" s="14" customFormat="1" ht="31.5">
      <c r="A82" s="23" t="s">
        <v>66</v>
      </c>
      <c r="B82" s="20" t="s">
        <v>67</v>
      </c>
      <c r="C82" s="20"/>
      <c r="D82" s="21">
        <f>D83</f>
        <v>71400000</v>
      </c>
      <c r="E82" s="21">
        <f>E83</f>
        <v>3054000</v>
      </c>
      <c r="F82" s="21">
        <f t="shared" si="1"/>
        <v>74454000</v>
      </c>
    </row>
    <row r="83" spans="1:6" s="22" customFormat="1" ht="31.5">
      <c r="A83" s="23" t="s">
        <v>14</v>
      </c>
      <c r="B83" s="20" t="s">
        <v>67</v>
      </c>
      <c r="C83" s="20">
        <v>600</v>
      </c>
      <c r="D83" s="21">
        <f>D84+D85</f>
        <v>71400000</v>
      </c>
      <c r="E83" s="21">
        <f>E84+E85</f>
        <v>3054000</v>
      </c>
      <c r="F83" s="21">
        <f t="shared" si="1"/>
        <v>74454000</v>
      </c>
    </row>
    <row r="84" spans="1:6" ht="15.75">
      <c r="A84" s="23" t="s">
        <v>15</v>
      </c>
      <c r="B84" s="20" t="s">
        <v>67</v>
      </c>
      <c r="C84" s="20">
        <v>610</v>
      </c>
      <c r="D84" s="21">
        <v>70500000</v>
      </c>
      <c r="E84" s="21">
        <v>2854000</v>
      </c>
      <c r="F84" s="21">
        <f t="shared" si="1"/>
        <v>73354000</v>
      </c>
    </row>
    <row r="85" spans="1:6" s="14" customFormat="1" ht="15.75">
      <c r="A85" s="23" t="s">
        <v>61</v>
      </c>
      <c r="B85" s="20" t="s">
        <v>67</v>
      </c>
      <c r="C85" s="20">
        <v>620</v>
      </c>
      <c r="D85" s="21">
        <v>900000</v>
      </c>
      <c r="E85" s="21">
        <v>200000</v>
      </c>
      <c r="F85" s="21">
        <f t="shared" si="1"/>
        <v>1100000</v>
      </c>
    </row>
    <row r="86" spans="1:6" s="14" customFormat="1" ht="31.5">
      <c r="A86" s="23" t="s">
        <v>68</v>
      </c>
      <c r="B86" s="20" t="s">
        <v>69</v>
      </c>
      <c r="C86" s="20"/>
      <c r="D86" s="21">
        <f>D87</f>
        <v>700000</v>
      </c>
      <c r="E86" s="21">
        <f>E87</f>
        <v>-200000</v>
      </c>
      <c r="F86" s="21">
        <f t="shared" si="1"/>
        <v>500000</v>
      </c>
    </row>
    <row r="87" spans="1:6" ht="31.5">
      <c r="A87" s="23" t="s">
        <v>14</v>
      </c>
      <c r="B87" s="20" t="s">
        <v>69</v>
      </c>
      <c r="C87" s="20">
        <v>600</v>
      </c>
      <c r="D87" s="21">
        <f>SUM(D88,D89)</f>
        <v>700000</v>
      </c>
      <c r="E87" s="21">
        <f>SUM(E88,E89)</f>
        <v>-200000</v>
      </c>
      <c r="F87" s="21">
        <f t="shared" si="1"/>
        <v>500000</v>
      </c>
    </row>
    <row r="88" spans="1:6" s="14" customFormat="1" ht="15.75">
      <c r="A88" s="23" t="s">
        <v>15</v>
      </c>
      <c r="B88" s="20" t="s">
        <v>69</v>
      </c>
      <c r="C88" s="20">
        <v>610</v>
      </c>
      <c r="D88" s="21">
        <v>500000</v>
      </c>
      <c r="E88" s="21">
        <v>0</v>
      </c>
      <c r="F88" s="21">
        <f t="shared" si="1"/>
        <v>500000</v>
      </c>
    </row>
    <row r="89" spans="1:6" s="14" customFormat="1" ht="15.75">
      <c r="A89" s="23" t="s">
        <v>61</v>
      </c>
      <c r="B89" s="20" t="s">
        <v>69</v>
      </c>
      <c r="C89" s="20">
        <v>620</v>
      </c>
      <c r="D89" s="21">
        <v>200000</v>
      </c>
      <c r="E89" s="21">
        <v>-200000</v>
      </c>
      <c r="F89" s="21">
        <f t="shared" si="1"/>
        <v>0</v>
      </c>
    </row>
    <row r="90" spans="1:6" s="14" customFormat="1" ht="47.25">
      <c r="A90" s="19" t="s">
        <v>70</v>
      </c>
      <c r="B90" s="20" t="s">
        <v>71</v>
      </c>
      <c r="C90" s="20"/>
      <c r="D90" s="21">
        <f>SUM(D91,D94)</f>
        <v>10550000</v>
      </c>
      <c r="E90" s="21">
        <f>SUM(E91,E94)</f>
        <v>67000</v>
      </c>
      <c r="F90" s="21">
        <f t="shared" si="1"/>
        <v>10617000</v>
      </c>
    </row>
    <row r="91" spans="1:6" s="14" customFormat="1" ht="47.25">
      <c r="A91" s="19" t="s">
        <v>72</v>
      </c>
      <c r="B91" s="20" t="s">
        <v>73</v>
      </c>
      <c r="C91" s="20"/>
      <c r="D91" s="24">
        <f>D92</f>
        <v>10500000</v>
      </c>
      <c r="E91" s="24">
        <f>E92</f>
        <v>67000</v>
      </c>
      <c r="F91" s="21">
        <f t="shared" si="1"/>
        <v>10567000</v>
      </c>
    </row>
    <row r="92" spans="1:6" s="14" customFormat="1" ht="31.5">
      <c r="A92" s="23" t="s">
        <v>14</v>
      </c>
      <c r="B92" s="20" t="s">
        <v>73</v>
      </c>
      <c r="C92" s="20">
        <v>600</v>
      </c>
      <c r="D92" s="24">
        <f>D93</f>
        <v>10500000</v>
      </c>
      <c r="E92" s="24">
        <f>E93</f>
        <v>67000</v>
      </c>
      <c r="F92" s="21">
        <f t="shared" si="1"/>
        <v>10567000</v>
      </c>
    </row>
    <row r="93" spans="1:6" s="14" customFormat="1" ht="15.75">
      <c r="A93" s="23" t="s">
        <v>15</v>
      </c>
      <c r="B93" s="20" t="s">
        <v>73</v>
      </c>
      <c r="C93" s="20">
        <v>610</v>
      </c>
      <c r="D93" s="24">
        <v>10500000</v>
      </c>
      <c r="E93" s="24">
        <v>67000</v>
      </c>
      <c r="F93" s="21">
        <f t="shared" si="1"/>
        <v>10567000</v>
      </c>
    </row>
    <row r="94" spans="1:6" s="14" customFormat="1" ht="31.5">
      <c r="A94" s="19" t="s">
        <v>74</v>
      </c>
      <c r="B94" s="20" t="s">
        <v>75</v>
      </c>
      <c r="C94" s="20"/>
      <c r="D94" s="24">
        <f>D95</f>
        <v>50000</v>
      </c>
      <c r="E94" s="24">
        <f>E95</f>
        <v>0</v>
      </c>
      <c r="F94" s="21">
        <f t="shared" si="1"/>
        <v>50000</v>
      </c>
    </row>
    <row r="95" spans="1:6" s="14" customFormat="1" ht="31.5">
      <c r="A95" s="23" t="s">
        <v>14</v>
      </c>
      <c r="B95" s="20" t="s">
        <v>75</v>
      </c>
      <c r="C95" s="20">
        <v>600</v>
      </c>
      <c r="D95" s="24">
        <f>D96</f>
        <v>50000</v>
      </c>
      <c r="E95" s="24">
        <f>E96</f>
        <v>0</v>
      </c>
      <c r="F95" s="21">
        <f t="shared" si="1"/>
        <v>50000</v>
      </c>
    </row>
    <row r="96" spans="1:6" s="22" customFormat="1" ht="15.75">
      <c r="A96" s="23" t="s">
        <v>15</v>
      </c>
      <c r="B96" s="20" t="s">
        <v>75</v>
      </c>
      <c r="C96" s="20">
        <v>610</v>
      </c>
      <c r="D96" s="24">
        <v>50000</v>
      </c>
      <c r="E96" s="24">
        <v>0</v>
      </c>
      <c r="F96" s="21">
        <f t="shared" si="1"/>
        <v>50000</v>
      </c>
    </row>
    <row r="97" spans="1:6" ht="31.5">
      <c r="A97" s="19" t="s">
        <v>76</v>
      </c>
      <c r="B97" s="20" t="s">
        <v>77</v>
      </c>
      <c r="C97" s="20"/>
      <c r="D97" s="21">
        <f>SUM(D98,D105,D112,D115,D118)</f>
        <v>71072112</v>
      </c>
      <c r="E97" s="21">
        <f>SUM(E98,E105,E112,E115,E118)</f>
        <v>-393012</v>
      </c>
      <c r="F97" s="21">
        <f t="shared" si="1"/>
        <v>70679100</v>
      </c>
    </row>
    <row r="98" spans="1:6" s="14" customFormat="1" ht="31.5">
      <c r="A98" s="19" t="s">
        <v>78</v>
      </c>
      <c r="B98" s="20" t="s">
        <v>79</v>
      </c>
      <c r="C98" s="20"/>
      <c r="D98" s="24">
        <f>SUM(D99,D101,D103)</f>
        <v>11761100</v>
      </c>
      <c r="E98" s="24">
        <f>SUM(E99,E101,E103)</f>
        <v>1580000</v>
      </c>
      <c r="F98" s="21">
        <f t="shared" si="1"/>
        <v>13341100</v>
      </c>
    </row>
    <row r="99" spans="1:6" ht="78.75">
      <c r="A99" s="29" t="s">
        <v>80</v>
      </c>
      <c r="B99" s="20" t="s">
        <v>79</v>
      </c>
      <c r="C99" s="30" t="s">
        <v>81</v>
      </c>
      <c r="D99" s="24">
        <f>D100</f>
        <v>11221100</v>
      </c>
      <c r="E99" s="24">
        <f>E100</f>
        <v>1500000</v>
      </c>
      <c r="F99" s="21">
        <f t="shared" si="1"/>
        <v>12721100</v>
      </c>
    </row>
    <row r="100" spans="1:6" ht="31.5">
      <c r="A100" s="29" t="s">
        <v>82</v>
      </c>
      <c r="B100" s="20" t="s">
        <v>79</v>
      </c>
      <c r="C100" s="30" t="s">
        <v>83</v>
      </c>
      <c r="D100" s="24">
        <v>11221100</v>
      </c>
      <c r="E100" s="24">
        <v>1500000</v>
      </c>
      <c r="F100" s="21">
        <f t="shared" si="1"/>
        <v>12721100</v>
      </c>
    </row>
    <row r="101" spans="1:6" ht="31.5">
      <c r="A101" s="26" t="s">
        <v>27</v>
      </c>
      <c r="B101" s="20" t="s">
        <v>79</v>
      </c>
      <c r="C101" s="30" t="s">
        <v>84</v>
      </c>
      <c r="D101" s="24">
        <f>D102</f>
        <v>530000</v>
      </c>
      <c r="E101" s="24">
        <f>E102</f>
        <v>80000</v>
      </c>
      <c r="F101" s="21">
        <f t="shared" si="1"/>
        <v>610000</v>
      </c>
    </row>
    <row r="102" spans="1:6" s="14" customFormat="1" ht="31.5">
      <c r="A102" s="26" t="s">
        <v>28</v>
      </c>
      <c r="B102" s="20" t="s">
        <v>79</v>
      </c>
      <c r="C102" s="30" t="s">
        <v>85</v>
      </c>
      <c r="D102" s="24">
        <v>530000</v>
      </c>
      <c r="E102" s="24">
        <f>80000</f>
        <v>80000</v>
      </c>
      <c r="F102" s="21">
        <f t="shared" si="1"/>
        <v>610000</v>
      </c>
    </row>
    <row r="103" spans="1:6" s="14" customFormat="1" ht="15.75">
      <c r="A103" s="26" t="s">
        <v>17</v>
      </c>
      <c r="B103" s="20" t="s">
        <v>79</v>
      </c>
      <c r="C103" s="30" t="s">
        <v>86</v>
      </c>
      <c r="D103" s="24">
        <f>D104</f>
        <v>10000</v>
      </c>
      <c r="E103" s="24">
        <f>E104</f>
        <v>0</v>
      </c>
      <c r="F103" s="21">
        <f t="shared" si="1"/>
        <v>10000</v>
      </c>
    </row>
    <row r="104" spans="1:6" s="14" customFormat="1" ht="15.75">
      <c r="A104" s="26" t="s">
        <v>87</v>
      </c>
      <c r="B104" s="20" t="s">
        <v>79</v>
      </c>
      <c r="C104" s="30" t="s">
        <v>88</v>
      </c>
      <c r="D104" s="24">
        <v>10000</v>
      </c>
      <c r="E104" s="24">
        <v>0</v>
      </c>
      <c r="F104" s="21">
        <f t="shared" si="1"/>
        <v>10000</v>
      </c>
    </row>
    <row r="105" spans="1:6" s="14" customFormat="1" ht="31.5">
      <c r="A105" s="19" t="s">
        <v>89</v>
      </c>
      <c r="B105" s="20" t="s">
        <v>90</v>
      </c>
      <c r="C105" s="20"/>
      <c r="D105" s="24">
        <f>SUM(D106,D108,D110)</f>
        <v>52425000</v>
      </c>
      <c r="E105" s="24">
        <f>SUM(E106,E108,E110)</f>
        <v>1713000</v>
      </c>
      <c r="F105" s="21">
        <f t="shared" si="1"/>
        <v>54138000</v>
      </c>
    </row>
    <row r="106" spans="1:6" s="14" customFormat="1" ht="78.75">
      <c r="A106" s="29" t="s">
        <v>80</v>
      </c>
      <c r="B106" s="20" t="s">
        <v>90</v>
      </c>
      <c r="C106" s="20">
        <v>100</v>
      </c>
      <c r="D106" s="24">
        <f>D107</f>
        <v>47000000</v>
      </c>
      <c r="E106" s="24">
        <f>E107</f>
        <v>1780000</v>
      </c>
      <c r="F106" s="21">
        <f t="shared" si="1"/>
        <v>48780000</v>
      </c>
    </row>
    <row r="107" spans="1:6" s="14" customFormat="1" ht="15.75">
      <c r="A107" s="29" t="s">
        <v>91</v>
      </c>
      <c r="B107" s="20" t="s">
        <v>90</v>
      </c>
      <c r="C107" s="20">
        <v>110</v>
      </c>
      <c r="D107" s="24">
        <v>47000000</v>
      </c>
      <c r="E107" s="24">
        <v>1780000</v>
      </c>
      <c r="F107" s="21">
        <f t="shared" si="1"/>
        <v>48780000</v>
      </c>
    </row>
    <row r="108" spans="1:6" s="14" customFormat="1" ht="31.5">
      <c r="A108" s="26" t="s">
        <v>27</v>
      </c>
      <c r="B108" s="20" t="s">
        <v>90</v>
      </c>
      <c r="C108" s="20">
        <v>200</v>
      </c>
      <c r="D108" s="24">
        <f>D109</f>
        <v>5400000</v>
      </c>
      <c r="E108" s="24">
        <f>E109</f>
        <v>-67000</v>
      </c>
      <c r="F108" s="21">
        <f t="shared" si="1"/>
        <v>5333000</v>
      </c>
    </row>
    <row r="109" spans="1:6" s="14" customFormat="1" ht="31.5">
      <c r="A109" s="26" t="s">
        <v>28</v>
      </c>
      <c r="B109" s="20" t="s">
        <v>90</v>
      </c>
      <c r="C109" s="20">
        <v>240</v>
      </c>
      <c r="D109" s="24">
        <v>5400000</v>
      </c>
      <c r="E109" s="24">
        <v>-67000</v>
      </c>
      <c r="F109" s="21">
        <f t="shared" si="1"/>
        <v>5333000</v>
      </c>
    </row>
    <row r="110" spans="1:6" s="31" customFormat="1" ht="15.75">
      <c r="A110" s="26" t="s">
        <v>17</v>
      </c>
      <c r="B110" s="20" t="s">
        <v>90</v>
      </c>
      <c r="C110" s="20">
        <v>800</v>
      </c>
      <c r="D110" s="24">
        <f>D111</f>
        <v>25000</v>
      </c>
      <c r="E110" s="24">
        <f>E111</f>
        <v>0</v>
      </c>
      <c r="F110" s="21">
        <f t="shared" si="1"/>
        <v>25000</v>
      </c>
    </row>
    <row r="111" spans="1:6" s="14" customFormat="1" ht="15.75">
      <c r="A111" s="26" t="s">
        <v>87</v>
      </c>
      <c r="B111" s="20" t="s">
        <v>90</v>
      </c>
      <c r="C111" s="20">
        <v>850</v>
      </c>
      <c r="D111" s="32">
        <v>25000</v>
      </c>
      <c r="E111" s="32">
        <v>0</v>
      </c>
      <c r="F111" s="21">
        <f t="shared" si="1"/>
        <v>25000</v>
      </c>
    </row>
    <row r="112" spans="1:6" s="14" customFormat="1" ht="31.5">
      <c r="A112" s="19" t="s">
        <v>92</v>
      </c>
      <c r="B112" s="20" t="s">
        <v>93</v>
      </c>
      <c r="C112" s="20"/>
      <c r="D112" s="24">
        <f>D113</f>
        <v>1200000</v>
      </c>
      <c r="E112" s="24">
        <f>E113</f>
        <v>-360000</v>
      </c>
      <c r="F112" s="21">
        <f t="shared" si="1"/>
        <v>840000</v>
      </c>
    </row>
    <row r="113" spans="1:6" s="14" customFormat="1" ht="15.75">
      <c r="A113" s="23" t="s">
        <v>29</v>
      </c>
      <c r="B113" s="20" t="s">
        <v>93</v>
      </c>
      <c r="C113" s="20">
        <v>300</v>
      </c>
      <c r="D113" s="21">
        <f>D114</f>
        <v>1200000</v>
      </c>
      <c r="E113" s="21">
        <f>E114</f>
        <v>-360000</v>
      </c>
      <c r="F113" s="21">
        <f t="shared" si="1"/>
        <v>840000</v>
      </c>
    </row>
    <row r="114" spans="1:6" s="14" customFormat="1" ht="31.5">
      <c r="A114" s="23" t="s">
        <v>94</v>
      </c>
      <c r="B114" s="20" t="s">
        <v>93</v>
      </c>
      <c r="C114" s="20">
        <v>330</v>
      </c>
      <c r="D114" s="24">
        <f>900000+300000</f>
        <v>1200000</v>
      </c>
      <c r="E114" s="24">
        <v>-360000</v>
      </c>
      <c r="F114" s="21">
        <f t="shared" si="1"/>
        <v>840000</v>
      </c>
    </row>
    <row r="115" spans="1:6" s="14" customFormat="1" ht="15.75">
      <c r="A115" s="23" t="s">
        <v>95</v>
      </c>
      <c r="B115" s="20" t="s">
        <v>96</v>
      </c>
      <c r="C115" s="20"/>
      <c r="D115" s="24">
        <f>D116</f>
        <v>300000</v>
      </c>
      <c r="E115" s="24">
        <f>E116</f>
        <v>360000</v>
      </c>
      <c r="F115" s="21">
        <f t="shared" si="1"/>
        <v>660000</v>
      </c>
    </row>
    <row r="116" spans="1:6" s="14" customFormat="1" ht="31.5">
      <c r="A116" s="23" t="s">
        <v>14</v>
      </c>
      <c r="B116" s="20" t="s">
        <v>96</v>
      </c>
      <c r="C116" s="20">
        <v>600</v>
      </c>
      <c r="D116" s="24">
        <f>D117</f>
        <v>300000</v>
      </c>
      <c r="E116" s="24">
        <f>E117</f>
        <v>360000</v>
      </c>
      <c r="F116" s="21">
        <f t="shared" si="1"/>
        <v>660000</v>
      </c>
    </row>
    <row r="117" spans="1:6" s="14" customFormat="1" ht="15.75">
      <c r="A117" s="23" t="s">
        <v>15</v>
      </c>
      <c r="B117" s="20" t="s">
        <v>96</v>
      </c>
      <c r="C117" s="20">
        <v>610</v>
      </c>
      <c r="D117" s="24">
        <v>300000</v>
      </c>
      <c r="E117" s="24">
        <v>360000</v>
      </c>
      <c r="F117" s="21">
        <f t="shared" si="1"/>
        <v>660000</v>
      </c>
    </row>
    <row r="118" spans="1:6" s="14" customFormat="1" ht="15.75">
      <c r="A118" s="19" t="s">
        <v>97</v>
      </c>
      <c r="B118" s="20" t="s">
        <v>98</v>
      </c>
      <c r="C118" s="20"/>
      <c r="D118" s="21">
        <f>SUM(D119,D121)</f>
        <v>5386012</v>
      </c>
      <c r="E118" s="21">
        <f>SUM(E119,E121)</f>
        <v>-3686012</v>
      </c>
      <c r="F118" s="21">
        <f t="shared" si="1"/>
        <v>1700000</v>
      </c>
    </row>
    <row r="119" spans="1:7" s="14" customFormat="1" ht="31.5">
      <c r="A119" s="26" t="s">
        <v>27</v>
      </c>
      <c r="B119" s="20" t="s">
        <v>98</v>
      </c>
      <c r="C119" s="30" t="s">
        <v>84</v>
      </c>
      <c r="D119" s="24">
        <f>D120</f>
        <v>53327</v>
      </c>
      <c r="E119" s="24">
        <f>E120</f>
        <v>-36495</v>
      </c>
      <c r="F119" s="21">
        <f t="shared" si="1"/>
        <v>16832</v>
      </c>
      <c r="G119" s="22"/>
    </row>
    <row r="120" spans="1:7" s="14" customFormat="1" ht="31.5">
      <c r="A120" s="26" t="s">
        <v>28</v>
      </c>
      <c r="B120" s="20" t="s">
        <v>98</v>
      </c>
      <c r="C120" s="30" t="s">
        <v>85</v>
      </c>
      <c r="D120" s="24">
        <v>53327</v>
      </c>
      <c r="E120" s="24">
        <v>-36495</v>
      </c>
      <c r="F120" s="21">
        <f t="shared" si="1"/>
        <v>16832</v>
      </c>
      <c r="G120" s="22"/>
    </row>
    <row r="121" spans="1:7" s="14" customFormat="1" ht="15.75">
      <c r="A121" s="23" t="s">
        <v>29</v>
      </c>
      <c r="B121" s="20" t="s">
        <v>98</v>
      </c>
      <c r="C121" s="20">
        <v>300</v>
      </c>
      <c r="D121" s="21">
        <f>D122</f>
        <v>5332685</v>
      </c>
      <c r="E121" s="21">
        <f>E122</f>
        <v>-3649517</v>
      </c>
      <c r="F121" s="21">
        <f t="shared" si="1"/>
        <v>1683168</v>
      </c>
      <c r="G121" s="22"/>
    </row>
    <row r="122" spans="1:7" s="14" customFormat="1" ht="31.5">
      <c r="A122" s="23" t="s">
        <v>30</v>
      </c>
      <c r="B122" s="20" t="s">
        <v>98</v>
      </c>
      <c r="C122" s="20">
        <v>320</v>
      </c>
      <c r="D122" s="24">
        <v>5332685</v>
      </c>
      <c r="E122" s="24">
        <v>-3649517</v>
      </c>
      <c r="F122" s="21">
        <f t="shared" si="1"/>
        <v>1683168</v>
      </c>
      <c r="G122" s="22"/>
    </row>
    <row r="123" spans="1:7" s="14" customFormat="1" ht="31.5">
      <c r="A123" s="15" t="s">
        <v>99</v>
      </c>
      <c r="B123" s="16" t="s">
        <v>100</v>
      </c>
      <c r="C123" s="16"/>
      <c r="D123" s="17">
        <f>D124+D159+D175+D185+D192</f>
        <v>423945605.78</v>
      </c>
      <c r="E123" s="17">
        <f>E124+E159+E175+E185+E192</f>
        <v>3711310.0700000003</v>
      </c>
      <c r="F123" s="17">
        <f t="shared" si="1"/>
        <v>427656915.84999996</v>
      </c>
      <c r="G123" s="22"/>
    </row>
    <row r="124" spans="1:6" s="14" customFormat="1" ht="47.25">
      <c r="A124" s="19" t="s">
        <v>101</v>
      </c>
      <c r="B124" s="20" t="s">
        <v>102</v>
      </c>
      <c r="C124" s="20"/>
      <c r="D124" s="21">
        <f>D128+D132+D136+D140+D143+D146+D150+D154+D156+D125</f>
        <v>159954900</v>
      </c>
      <c r="E124" s="21">
        <f>E128+E132+E136+E140+E143+E146+E150+E154+E156+E125</f>
        <v>-17041887.91</v>
      </c>
      <c r="F124" s="21">
        <f t="shared" si="1"/>
        <v>142913012.09</v>
      </c>
    </row>
    <row r="125" spans="1:6" s="14" customFormat="1" ht="84.75" customHeight="1">
      <c r="A125" s="19" t="s">
        <v>103</v>
      </c>
      <c r="B125" s="20" t="s">
        <v>104</v>
      </c>
      <c r="C125" s="20"/>
      <c r="D125" s="21">
        <f>D126</f>
        <v>0</v>
      </c>
      <c r="E125" s="21">
        <f>E126</f>
        <v>153000</v>
      </c>
      <c r="F125" s="21">
        <f t="shared" si="1"/>
        <v>153000</v>
      </c>
    </row>
    <row r="126" spans="1:6" s="14" customFormat="1" ht="31.5">
      <c r="A126" s="23" t="s">
        <v>14</v>
      </c>
      <c r="B126" s="20" t="s">
        <v>104</v>
      </c>
      <c r="C126" s="20">
        <v>600</v>
      </c>
      <c r="D126" s="21">
        <f>D127</f>
        <v>0</v>
      </c>
      <c r="E126" s="21">
        <f>E127</f>
        <v>153000</v>
      </c>
      <c r="F126" s="21">
        <f t="shared" si="1"/>
        <v>153000</v>
      </c>
    </row>
    <row r="127" spans="1:6" s="14" customFormat="1" ht="15.75">
      <c r="A127" s="23" t="s">
        <v>15</v>
      </c>
      <c r="B127" s="20" t="s">
        <v>104</v>
      </c>
      <c r="C127" s="20">
        <v>610</v>
      </c>
      <c r="D127" s="21">
        <v>0</v>
      </c>
      <c r="E127" s="21">
        <v>153000</v>
      </c>
      <c r="F127" s="21">
        <f t="shared" si="1"/>
        <v>153000</v>
      </c>
    </row>
    <row r="128" spans="1:6" s="14" customFormat="1" ht="15.75">
      <c r="A128" s="19" t="s">
        <v>105</v>
      </c>
      <c r="B128" s="20" t="s">
        <v>106</v>
      </c>
      <c r="C128" s="20"/>
      <c r="D128" s="21">
        <f>SUM(D129)</f>
        <v>5000000</v>
      </c>
      <c r="E128" s="21">
        <f>SUM(E129)</f>
        <v>505965</v>
      </c>
      <c r="F128" s="21">
        <f t="shared" si="1"/>
        <v>5505965</v>
      </c>
    </row>
    <row r="129" spans="1:6" s="14" customFormat="1" ht="31.5">
      <c r="A129" s="23" t="s">
        <v>14</v>
      </c>
      <c r="B129" s="20" t="s">
        <v>106</v>
      </c>
      <c r="C129" s="20">
        <v>600</v>
      </c>
      <c r="D129" s="21">
        <f>SUM(D130:D131)</f>
        <v>5000000</v>
      </c>
      <c r="E129" s="21">
        <f>SUM(E130:E131)</f>
        <v>505965</v>
      </c>
      <c r="F129" s="21">
        <f t="shared" si="1"/>
        <v>5505965</v>
      </c>
    </row>
    <row r="130" spans="1:6" s="14" customFormat="1" ht="15.75">
      <c r="A130" s="23" t="s">
        <v>15</v>
      </c>
      <c r="B130" s="20" t="s">
        <v>106</v>
      </c>
      <c r="C130" s="20">
        <v>610</v>
      </c>
      <c r="D130" s="21">
        <v>3600000</v>
      </c>
      <c r="E130" s="21">
        <f>292290+200000</f>
        <v>492290</v>
      </c>
      <c r="F130" s="21">
        <f t="shared" si="1"/>
        <v>4092290</v>
      </c>
    </row>
    <row r="131" spans="1:6" s="14" customFormat="1" ht="15.75">
      <c r="A131" s="23" t="s">
        <v>61</v>
      </c>
      <c r="B131" s="20" t="s">
        <v>106</v>
      </c>
      <c r="C131" s="20">
        <v>620</v>
      </c>
      <c r="D131" s="21">
        <v>1400000</v>
      </c>
      <c r="E131" s="21">
        <v>13675</v>
      </c>
      <c r="F131" s="21">
        <f t="shared" si="1"/>
        <v>1413675</v>
      </c>
    </row>
    <row r="132" spans="1:6" s="14" customFormat="1" ht="31.5">
      <c r="A132" s="19" t="s">
        <v>107</v>
      </c>
      <c r="B132" s="20" t="s">
        <v>108</v>
      </c>
      <c r="C132" s="20"/>
      <c r="D132" s="21">
        <f>D133</f>
        <v>107410000</v>
      </c>
      <c r="E132" s="21">
        <f>E133</f>
        <v>4417436.28</v>
      </c>
      <c r="F132" s="21">
        <f t="shared" si="1"/>
        <v>111827436.28</v>
      </c>
    </row>
    <row r="133" spans="1:6" s="14" customFormat="1" ht="31.5">
      <c r="A133" s="23" t="s">
        <v>14</v>
      </c>
      <c r="B133" s="20" t="s">
        <v>108</v>
      </c>
      <c r="C133" s="20">
        <v>600</v>
      </c>
      <c r="D133" s="21">
        <f>D134+D135</f>
        <v>107410000</v>
      </c>
      <c r="E133" s="21">
        <f>E134+E135</f>
        <v>4417436.28</v>
      </c>
      <c r="F133" s="21">
        <f t="shared" si="1"/>
        <v>111827436.28</v>
      </c>
    </row>
    <row r="134" spans="1:6" s="14" customFormat="1" ht="15.75">
      <c r="A134" s="23" t="s">
        <v>15</v>
      </c>
      <c r="B134" s="20" t="s">
        <v>108</v>
      </c>
      <c r="C134" s="20">
        <v>610</v>
      </c>
      <c r="D134" s="24">
        <v>59840000</v>
      </c>
      <c r="E134" s="24">
        <f>1258472.28+65000+3093964</f>
        <v>4417436.28</v>
      </c>
      <c r="F134" s="21">
        <f t="shared" si="1"/>
        <v>64257436.28</v>
      </c>
    </row>
    <row r="135" spans="1:6" s="14" customFormat="1" ht="15.75">
      <c r="A135" s="23" t="s">
        <v>61</v>
      </c>
      <c r="B135" s="20" t="s">
        <v>108</v>
      </c>
      <c r="C135" s="20">
        <v>620</v>
      </c>
      <c r="D135" s="24">
        <v>47570000</v>
      </c>
      <c r="E135" s="24">
        <v>0</v>
      </c>
      <c r="F135" s="21">
        <f t="shared" si="1"/>
        <v>47570000</v>
      </c>
    </row>
    <row r="136" spans="1:6" s="14" customFormat="1" ht="47.25">
      <c r="A136" s="19" t="s">
        <v>109</v>
      </c>
      <c r="B136" s="20" t="s">
        <v>110</v>
      </c>
      <c r="C136" s="20"/>
      <c r="D136" s="21">
        <f>D137</f>
        <v>4000000</v>
      </c>
      <c r="E136" s="21">
        <f>E137</f>
        <v>3489556.81</v>
      </c>
      <c r="F136" s="21">
        <f aca="true" t="shared" si="2" ref="F136:F199">SUM(D136:E136)</f>
        <v>7489556.8100000005</v>
      </c>
    </row>
    <row r="137" spans="1:6" s="14" customFormat="1" ht="31.5">
      <c r="A137" s="23" t="s">
        <v>14</v>
      </c>
      <c r="B137" s="20" t="s">
        <v>110</v>
      </c>
      <c r="C137" s="20">
        <v>600</v>
      </c>
      <c r="D137" s="21">
        <f>D138+D139</f>
        <v>4000000</v>
      </c>
      <c r="E137" s="21">
        <f>E138+E139</f>
        <v>3489556.81</v>
      </c>
      <c r="F137" s="21">
        <f t="shared" si="2"/>
        <v>7489556.8100000005</v>
      </c>
    </row>
    <row r="138" spans="1:6" s="14" customFormat="1" ht="15.75">
      <c r="A138" s="23" t="s">
        <v>15</v>
      </c>
      <c r="B138" s="20" t="s">
        <v>110</v>
      </c>
      <c r="C138" s="20">
        <v>610</v>
      </c>
      <c r="D138" s="21">
        <v>3000000</v>
      </c>
      <c r="E138" s="21">
        <f>500000+2124000+60000</f>
        <v>2684000</v>
      </c>
      <c r="F138" s="21">
        <f t="shared" si="2"/>
        <v>5684000</v>
      </c>
    </row>
    <row r="139" spans="1:6" s="14" customFormat="1" ht="15.75">
      <c r="A139" s="23" t="s">
        <v>61</v>
      </c>
      <c r="B139" s="20" t="s">
        <v>110</v>
      </c>
      <c r="C139" s="20">
        <v>620</v>
      </c>
      <c r="D139" s="21">
        <v>1000000</v>
      </c>
      <c r="E139" s="21">
        <f>205556.81+600000</f>
        <v>805556.81</v>
      </c>
      <c r="F139" s="21">
        <f t="shared" si="2"/>
        <v>1805556.81</v>
      </c>
    </row>
    <row r="140" spans="1:6" s="14" customFormat="1" ht="15.75">
      <c r="A140" s="19" t="s">
        <v>111</v>
      </c>
      <c r="B140" s="20" t="s">
        <v>112</v>
      </c>
      <c r="C140" s="20"/>
      <c r="D140" s="21">
        <f>D141</f>
        <v>1500000</v>
      </c>
      <c r="E140" s="21">
        <f>E141</f>
        <v>0</v>
      </c>
      <c r="F140" s="21">
        <f t="shared" si="2"/>
        <v>1500000</v>
      </c>
    </row>
    <row r="141" spans="1:6" s="22" customFormat="1" ht="15.75">
      <c r="A141" s="23" t="s">
        <v>17</v>
      </c>
      <c r="B141" s="20" t="s">
        <v>112</v>
      </c>
      <c r="C141" s="20">
        <v>800</v>
      </c>
      <c r="D141" s="21">
        <f>D142</f>
        <v>1500000</v>
      </c>
      <c r="E141" s="21">
        <f>E142</f>
        <v>0</v>
      </c>
      <c r="F141" s="21">
        <f t="shared" si="2"/>
        <v>1500000</v>
      </c>
    </row>
    <row r="142" spans="1:6" s="14" customFormat="1" ht="63">
      <c r="A142" s="23" t="s">
        <v>18</v>
      </c>
      <c r="B142" s="20" t="s">
        <v>112</v>
      </c>
      <c r="C142" s="20">
        <v>810</v>
      </c>
      <c r="D142" s="21">
        <v>1500000</v>
      </c>
      <c r="E142" s="21">
        <f>295000-295000</f>
        <v>0</v>
      </c>
      <c r="F142" s="21">
        <f t="shared" si="2"/>
        <v>1500000</v>
      </c>
    </row>
    <row r="143" spans="1:6" s="14" customFormat="1" ht="47.25">
      <c r="A143" s="19" t="s">
        <v>113</v>
      </c>
      <c r="B143" s="20" t="s">
        <v>114</v>
      </c>
      <c r="C143" s="20"/>
      <c r="D143" s="21">
        <f>D144</f>
        <v>6000000</v>
      </c>
      <c r="E143" s="21">
        <f>E144</f>
        <v>0</v>
      </c>
      <c r="F143" s="21">
        <f t="shared" si="2"/>
        <v>6000000</v>
      </c>
    </row>
    <row r="144" spans="1:6" s="14" customFormat="1" ht="15.75">
      <c r="A144" s="23" t="s">
        <v>17</v>
      </c>
      <c r="B144" s="20" t="s">
        <v>114</v>
      </c>
      <c r="C144" s="20">
        <v>800</v>
      </c>
      <c r="D144" s="21">
        <f>D145</f>
        <v>6000000</v>
      </c>
      <c r="E144" s="21">
        <f>E145</f>
        <v>0</v>
      </c>
      <c r="F144" s="21">
        <f t="shared" si="2"/>
        <v>6000000</v>
      </c>
    </row>
    <row r="145" spans="1:6" s="14" customFormat="1" ht="63">
      <c r="A145" s="23" t="s">
        <v>18</v>
      </c>
      <c r="B145" s="20" t="s">
        <v>114</v>
      </c>
      <c r="C145" s="20">
        <v>810</v>
      </c>
      <c r="D145" s="21">
        <v>6000000</v>
      </c>
      <c r="E145" s="21">
        <v>0</v>
      </c>
      <c r="F145" s="21">
        <f t="shared" si="2"/>
        <v>6000000</v>
      </c>
    </row>
    <row r="146" spans="1:6" s="14" customFormat="1" ht="31.5">
      <c r="A146" s="23" t="s">
        <v>115</v>
      </c>
      <c r="B146" s="20" t="s">
        <v>116</v>
      </c>
      <c r="C146" s="20"/>
      <c r="D146" s="21">
        <f>D147</f>
        <v>300000</v>
      </c>
      <c r="E146" s="21">
        <f>E147</f>
        <v>0</v>
      </c>
      <c r="F146" s="21">
        <f t="shared" si="2"/>
        <v>300000</v>
      </c>
    </row>
    <row r="147" spans="1:6" s="14" customFormat="1" ht="31.5">
      <c r="A147" s="23" t="s">
        <v>14</v>
      </c>
      <c r="B147" s="20" t="s">
        <v>116</v>
      </c>
      <c r="C147" s="20">
        <v>600</v>
      </c>
      <c r="D147" s="21">
        <f>D148+D149</f>
        <v>300000</v>
      </c>
      <c r="E147" s="21">
        <f>E148+E149</f>
        <v>0</v>
      </c>
      <c r="F147" s="21">
        <f t="shared" si="2"/>
        <v>300000</v>
      </c>
    </row>
    <row r="148" spans="1:6" s="14" customFormat="1" ht="15.75">
      <c r="A148" s="23" t="s">
        <v>15</v>
      </c>
      <c r="B148" s="20" t="s">
        <v>116</v>
      </c>
      <c r="C148" s="20">
        <v>610</v>
      </c>
      <c r="D148" s="21">
        <v>200000</v>
      </c>
      <c r="E148" s="21">
        <v>0</v>
      </c>
      <c r="F148" s="21">
        <f t="shared" si="2"/>
        <v>200000</v>
      </c>
    </row>
    <row r="149" spans="1:6" s="14" customFormat="1" ht="15.75">
      <c r="A149" s="23" t="s">
        <v>61</v>
      </c>
      <c r="B149" s="20" t="s">
        <v>116</v>
      </c>
      <c r="C149" s="20">
        <v>620</v>
      </c>
      <c r="D149" s="21">
        <v>100000</v>
      </c>
      <c r="E149" s="21">
        <v>0</v>
      </c>
      <c r="F149" s="21">
        <f t="shared" si="2"/>
        <v>100000</v>
      </c>
    </row>
    <row r="150" spans="1:6" s="14" customFormat="1" ht="31.5">
      <c r="A150" s="19" t="s">
        <v>117</v>
      </c>
      <c r="B150" s="20" t="s">
        <v>118</v>
      </c>
      <c r="C150" s="20"/>
      <c r="D150" s="24">
        <f>D151</f>
        <v>500000</v>
      </c>
      <c r="E150" s="24">
        <f>E151</f>
        <v>-125000</v>
      </c>
      <c r="F150" s="21">
        <f t="shared" si="2"/>
        <v>375000</v>
      </c>
    </row>
    <row r="151" spans="1:6" s="14" customFormat="1" ht="31.5">
      <c r="A151" s="23" t="s">
        <v>14</v>
      </c>
      <c r="B151" s="20" t="s">
        <v>118</v>
      </c>
      <c r="C151" s="20">
        <v>600</v>
      </c>
      <c r="D151" s="24">
        <f>D152</f>
        <v>500000</v>
      </c>
      <c r="E151" s="24">
        <f>E152</f>
        <v>-125000</v>
      </c>
      <c r="F151" s="21">
        <f t="shared" si="2"/>
        <v>375000</v>
      </c>
    </row>
    <row r="152" spans="1:6" s="14" customFormat="1" ht="15.75">
      <c r="A152" s="23" t="s">
        <v>15</v>
      </c>
      <c r="B152" s="20" t="s">
        <v>118</v>
      </c>
      <c r="C152" s="20">
        <v>610</v>
      </c>
      <c r="D152" s="24">
        <v>500000</v>
      </c>
      <c r="E152" s="24">
        <f>-65000-60000</f>
        <v>-125000</v>
      </c>
      <c r="F152" s="21">
        <f t="shared" si="2"/>
        <v>375000</v>
      </c>
    </row>
    <row r="153" spans="1:6" s="14" customFormat="1" ht="15.75">
      <c r="A153" s="23" t="s">
        <v>119</v>
      </c>
      <c r="B153" s="20" t="s">
        <v>120</v>
      </c>
      <c r="C153" s="20"/>
      <c r="D153" s="24">
        <f>D154</f>
        <v>200000</v>
      </c>
      <c r="E153" s="24">
        <f>E154</f>
        <v>0</v>
      </c>
      <c r="F153" s="21">
        <f t="shared" si="2"/>
        <v>200000</v>
      </c>
    </row>
    <row r="154" spans="1:6" s="22" customFormat="1" ht="31.5">
      <c r="A154" s="23" t="s">
        <v>14</v>
      </c>
      <c r="B154" s="20" t="s">
        <v>120</v>
      </c>
      <c r="C154" s="20">
        <v>600</v>
      </c>
      <c r="D154" s="24">
        <f>D155</f>
        <v>200000</v>
      </c>
      <c r="E154" s="24">
        <f>E155</f>
        <v>0</v>
      </c>
      <c r="F154" s="21">
        <f t="shared" si="2"/>
        <v>200000</v>
      </c>
    </row>
    <row r="155" spans="1:6" s="22" customFormat="1" ht="15.75">
      <c r="A155" s="23" t="s">
        <v>15</v>
      </c>
      <c r="B155" s="20" t="s">
        <v>120</v>
      </c>
      <c r="C155" s="20">
        <v>610</v>
      </c>
      <c r="D155" s="24">
        <v>200000</v>
      </c>
      <c r="E155" s="24">
        <v>0</v>
      </c>
      <c r="F155" s="21">
        <f t="shared" si="2"/>
        <v>200000</v>
      </c>
    </row>
    <row r="156" spans="1:6" s="22" customFormat="1" ht="15.75">
      <c r="A156" s="23" t="s">
        <v>121</v>
      </c>
      <c r="B156" s="20" t="s">
        <v>122</v>
      </c>
      <c r="C156" s="20"/>
      <c r="D156" s="21">
        <f>D157</f>
        <v>35044900</v>
      </c>
      <c r="E156" s="21">
        <f>E157</f>
        <v>-25482846</v>
      </c>
      <c r="F156" s="21">
        <f t="shared" si="2"/>
        <v>9562054</v>
      </c>
    </row>
    <row r="157" spans="1:6" s="22" customFormat="1" ht="31.5">
      <c r="A157" s="23" t="s">
        <v>123</v>
      </c>
      <c r="B157" s="20" t="s">
        <v>122</v>
      </c>
      <c r="C157" s="20">
        <v>400</v>
      </c>
      <c r="D157" s="21">
        <f>D158</f>
        <v>35044900</v>
      </c>
      <c r="E157" s="21">
        <f>E158</f>
        <v>-25482846</v>
      </c>
      <c r="F157" s="21">
        <f t="shared" si="2"/>
        <v>9562054</v>
      </c>
    </row>
    <row r="158" spans="1:6" s="22" customFormat="1" ht="15.75">
      <c r="A158" s="23" t="s">
        <v>124</v>
      </c>
      <c r="B158" s="20" t="s">
        <v>122</v>
      </c>
      <c r="C158" s="20">
        <v>410</v>
      </c>
      <c r="D158" s="21">
        <v>35044900</v>
      </c>
      <c r="E158" s="21">
        <f>-7500000-1460346-5110000-4560000-5000-5860000-737500-500000+250000</f>
        <v>-25482846</v>
      </c>
      <c r="F158" s="21">
        <f t="shared" si="2"/>
        <v>9562054</v>
      </c>
    </row>
    <row r="159" spans="1:6" ht="31.5">
      <c r="A159" s="19" t="s">
        <v>125</v>
      </c>
      <c r="B159" s="20" t="s">
        <v>126</v>
      </c>
      <c r="C159" s="20"/>
      <c r="D159" s="21">
        <f>SUM(D160,D163,D169,D172,D166)</f>
        <v>56169947.78</v>
      </c>
      <c r="E159" s="21">
        <f>SUM(E160,E163,E169,E172,E166)</f>
        <v>3752677</v>
      </c>
      <c r="F159" s="21">
        <f t="shared" si="2"/>
        <v>59922624.78</v>
      </c>
    </row>
    <row r="160" spans="1:6" ht="31.5">
      <c r="A160" s="19" t="s">
        <v>127</v>
      </c>
      <c r="B160" s="20" t="s">
        <v>128</v>
      </c>
      <c r="C160" s="20"/>
      <c r="D160" s="21">
        <f>D161</f>
        <v>53200000</v>
      </c>
      <c r="E160" s="21">
        <f>E161</f>
        <v>3507677</v>
      </c>
      <c r="F160" s="21">
        <f t="shared" si="2"/>
        <v>56707677</v>
      </c>
    </row>
    <row r="161" spans="1:6" ht="31.5">
      <c r="A161" s="23" t="s">
        <v>14</v>
      </c>
      <c r="B161" s="20" t="s">
        <v>128</v>
      </c>
      <c r="C161" s="20">
        <v>600</v>
      </c>
      <c r="D161" s="21">
        <f>D162</f>
        <v>53200000</v>
      </c>
      <c r="E161" s="21">
        <f>E162</f>
        <v>3507677</v>
      </c>
      <c r="F161" s="21">
        <f t="shared" si="2"/>
        <v>56707677</v>
      </c>
    </row>
    <row r="162" spans="1:6" ht="15.75">
      <c r="A162" s="23" t="s">
        <v>15</v>
      </c>
      <c r="B162" s="20" t="s">
        <v>128</v>
      </c>
      <c r="C162" s="20">
        <v>610</v>
      </c>
      <c r="D162" s="21">
        <v>53200000</v>
      </c>
      <c r="E162" s="21">
        <f>133500+3374177</f>
        <v>3507677</v>
      </c>
      <c r="F162" s="21">
        <f t="shared" si="2"/>
        <v>56707677</v>
      </c>
    </row>
    <row r="163" spans="1:6" ht="47.25">
      <c r="A163" s="19" t="s">
        <v>129</v>
      </c>
      <c r="B163" s="20" t="s">
        <v>130</v>
      </c>
      <c r="C163" s="20"/>
      <c r="D163" s="21">
        <f>D164</f>
        <v>1500000</v>
      </c>
      <c r="E163" s="21">
        <f>E164</f>
        <v>245000</v>
      </c>
      <c r="F163" s="21">
        <f t="shared" si="2"/>
        <v>1745000</v>
      </c>
    </row>
    <row r="164" spans="1:6" ht="31.5">
      <c r="A164" s="23" t="s">
        <v>14</v>
      </c>
      <c r="B164" s="20" t="s">
        <v>130</v>
      </c>
      <c r="C164" s="20">
        <v>600</v>
      </c>
      <c r="D164" s="21">
        <f>D165</f>
        <v>1500000</v>
      </c>
      <c r="E164" s="21">
        <f>E165</f>
        <v>245000</v>
      </c>
      <c r="F164" s="21">
        <f t="shared" si="2"/>
        <v>1745000</v>
      </c>
    </row>
    <row r="165" spans="1:6" ht="15.75">
      <c r="A165" s="23" t="s">
        <v>15</v>
      </c>
      <c r="B165" s="20" t="s">
        <v>130</v>
      </c>
      <c r="C165" s="20">
        <v>610</v>
      </c>
      <c r="D165" s="21">
        <v>1500000</v>
      </c>
      <c r="E165" s="21">
        <v>245000</v>
      </c>
      <c r="F165" s="21">
        <f t="shared" si="2"/>
        <v>1745000</v>
      </c>
    </row>
    <row r="166" spans="1:6" ht="53.25" customHeight="1">
      <c r="A166" s="23" t="s">
        <v>131</v>
      </c>
      <c r="B166" s="20" t="s">
        <v>132</v>
      </c>
      <c r="C166" s="20"/>
      <c r="D166" s="21">
        <f>D167</f>
        <v>0</v>
      </c>
      <c r="E166" s="21">
        <f>E167</f>
        <v>469947.78</v>
      </c>
      <c r="F166" s="21">
        <f t="shared" si="2"/>
        <v>469947.78</v>
      </c>
    </row>
    <row r="167" spans="1:6" ht="31.5">
      <c r="A167" s="23" t="s">
        <v>14</v>
      </c>
      <c r="B167" s="20" t="s">
        <v>132</v>
      </c>
      <c r="C167" s="20">
        <v>600</v>
      </c>
      <c r="D167" s="21">
        <f>D168</f>
        <v>0</v>
      </c>
      <c r="E167" s="21">
        <f>E168</f>
        <v>469947.78</v>
      </c>
      <c r="F167" s="21">
        <f t="shared" si="2"/>
        <v>469947.78</v>
      </c>
    </row>
    <row r="168" spans="1:6" ht="15.75">
      <c r="A168" s="23" t="s">
        <v>15</v>
      </c>
      <c r="B168" s="20" t="s">
        <v>132</v>
      </c>
      <c r="C168" s="20">
        <v>610</v>
      </c>
      <c r="D168" s="21">
        <v>0</v>
      </c>
      <c r="E168" s="21">
        <v>469947.78</v>
      </c>
      <c r="F168" s="21">
        <f t="shared" si="2"/>
        <v>469947.78</v>
      </c>
    </row>
    <row r="169" spans="1:6" ht="78.75">
      <c r="A169" s="23" t="s">
        <v>133</v>
      </c>
      <c r="B169" s="20" t="s">
        <v>134</v>
      </c>
      <c r="C169" s="20"/>
      <c r="D169" s="21">
        <f>D170</f>
        <v>469947.78</v>
      </c>
      <c r="E169" s="21">
        <f>E170</f>
        <v>-469947.78</v>
      </c>
      <c r="F169" s="21">
        <f t="shared" si="2"/>
        <v>0</v>
      </c>
    </row>
    <row r="170" spans="1:6" ht="31.5">
      <c r="A170" s="33" t="s">
        <v>14</v>
      </c>
      <c r="B170" s="20" t="s">
        <v>134</v>
      </c>
      <c r="C170" s="20">
        <v>600</v>
      </c>
      <c r="D170" s="21">
        <f>D171</f>
        <v>469947.78</v>
      </c>
      <c r="E170" s="21">
        <f>E171</f>
        <v>-469947.78</v>
      </c>
      <c r="F170" s="21">
        <f t="shared" si="2"/>
        <v>0</v>
      </c>
    </row>
    <row r="171" spans="1:6" ht="15.75">
      <c r="A171" s="33" t="s">
        <v>15</v>
      </c>
      <c r="B171" s="20" t="s">
        <v>134</v>
      </c>
      <c r="C171" s="20">
        <v>610</v>
      </c>
      <c r="D171" s="21">
        <f>46994.78+422953</f>
        <v>469947.78</v>
      </c>
      <c r="E171" s="21">
        <v>-469947.78</v>
      </c>
      <c r="F171" s="21">
        <f t="shared" si="2"/>
        <v>0</v>
      </c>
    </row>
    <row r="172" spans="1:6" ht="63">
      <c r="A172" s="23" t="s">
        <v>135</v>
      </c>
      <c r="B172" s="20" t="s">
        <v>136</v>
      </c>
      <c r="C172" s="20"/>
      <c r="D172" s="21">
        <f>D173</f>
        <v>1000000</v>
      </c>
      <c r="E172" s="21">
        <f>E173</f>
        <v>0</v>
      </c>
      <c r="F172" s="21">
        <f t="shared" si="2"/>
        <v>1000000</v>
      </c>
    </row>
    <row r="173" spans="1:6" ht="31.5">
      <c r="A173" s="33" t="s">
        <v>14</v>
      </c>
      <c r="B173" s="20" t="s">
        <v>136</v>
      </c>
      <c r="C173" s="20">
        <v>600</v>
      </c>
      <c r="D173" s="21">
        <f>D174</f>
        <v>1000000</v>
      </c>
      <c r="E173" s="21">
        <f>E174</f>
        <v>0</v>
      </c>
      <c r="F173" s="21">
        <f t="shared" si="2"/>
        <v>1000000</v>
      </c>
    </row>
    <row r="174" spans="1:6" ht="15.75">
      <c r="A174" s="33" t="s">
        <v>15</v>
      </c>
      <c r="B174" s="20" t="s">
        <v>136</v>
      </c>
      <c r="C174" s="20">
        <v>610</v>
      </c>
      <c r="D174" s="21">
        <f>1000000</f>
        <v>1000000</v>
      </c>
      <c r="E174" s="21">
        <v>0</v>
      </c>
      <c r="F174" s="21">
        <f t="shared" si="2"/>
        <v>1000000</v>
      </c>
    </row>
    <row r="175" spans="1:6" ht="31.5">
      <c r="A175" s="19" t="s">
        <v>137</v>
      </c>
      <c r="B175" s="20" t="s">
        <v>138</v>
      </c>
      <c r="C175" s="20"/>
      <c r="D175" s="21">
        <f>SUM(D176,D179,D182)</f>
        <v>29030000</v>
      </c>
      <c r="E175" s="21">
        <f>SUM(E176,E179,E182)</f>
        <v>8119356.99</v>
      </c>
      <c r="F175" s="21">
        <f t="shared" si="2"/>
        <v>37149356.99</v>
      </c>
    </row>
    <row r="176" spans="1:6" ht="15.75">
      <c r="A176" s="19" t="s">
        <v>139</v>
      </c>
      <c r="B176" s="20" t="s">
        <v>140</v>
      </c>
      <c r="C176" s="20"/>
      <c r="D176" s="21">
        <f>D177</f>
        <v>28030000</v>
      </c>
      <c r="E176" s="21">
        <f>E177</f>
        <v>2380465.73</v>
      </c>
      <c r="F176" s="21">
        <f t="shared" si="2"/>
        <v>30410465.73</v>
      </c>
    </row>
    <row r="177" spans="1:6" ht="31.5">
      <c r="A177" s="23" t="s">
        <v>14</v>
      </c>
      <c r="B177" s="20" t="s">
        <v>140</v>
      </c>
      <c r="C177" s="20">
        <v>600</v>
      </c>
      <c r="D177" s="21">
        <f>D178</f>
        <v>28030000</v>
      </c>
      <c r="E177" s="21">
        <f>E178</f>
        <v>2380465.73</v>
      </c>
      <c r="F177" s="21">
        <f t="shared" si="2"/>
        <v>30410465.73</v>
      </c>
    </row>
    <row r="178" spans="1:6" ht="15.75">
      <c r="A178" s="23" t="s">
        <v>15</v>
      </c>
      <c r="B178" s="20" t="s">
        <v>140</v>
      </c>
      <c r="C178" s="20">
        <v>610</v>
      </c>
      <c r="D178" s="21">
        <v>28030000</v>
      </c>
      <c r="E178" s="21">
        <f>1295718.73+325000+759747</f>
        <v>2380465.73</v>
      </c>
      <c r="F178" s="21">
        <f t="shared" si="2"/>
        <v>30410465.73</v>
      </c>
    </row>
    <row r="179" spans="1:6" s="22" customFormat="1" ht="31.5">
      <c r="A179" s="19" t="s">
        <v>141</v>
      </c>
      <c r="B179" s="20" t="s">
        <v>142</v>
      </c>
      <c r="C179" s="20"/>
      <c r="D179" s="21">
        <f>D180</f>
        <v>1000000</v>
      </c>
      <c r="E179" s="21">
        <f>E180</f>
        <v>0</v>
      </c>
      <c r="F179" s="21">
        <f t="shared" si="2"/>
        <v>1000000</v>
      </c>
    </row>
    <row r="180" spans="1:6" s="22" customFormat="1" ht="31.5">
      <c r="A180" s="23" t="s">
        <v>14</v>
      </c>
      <c r="B180" s="20" t="s">
        <v>142</v>
      </c>
      <c r="C180" s="20">
        <v>600</v>
      </c>
      <c r="D180" s="21">
        <f>D181</f>
        <v>1000000</v>
      </c>
      <c r="E180" s="21">
        <f>E181</f>
        <v>0</v>
      </c>
      <c r="F180" s="21">
        <f t="shared" si="2"/>
        <v>1000000</v>
      </c>
    </row>
    <row r="181" spans="1:6" s="22" customFormat="1" ht="15.75">
      <c r="A181" s="23" t="s">
        <v>15</v>
      </c>
      <c r="B181" s="20" t="s">
        <v>142</v>
      </c>
      <c r="C181" s="20">
        <v>610</v>
      </c>
      <c r="D181" s="21">
        <v>1000000</v>
      </c>
      <c r="E181" s="21">
        <f>4406250-4406250</f>
        <v>0</v>
      </c>
      <c r="F181" s="21">
        <f t="shared" si="2"/>
        <v>1000000</v>
      </c>
    </row>
    <row r="182" spans="1:6" s="22" customFormat="1" ht="126">
      <c r="A182" s="23" t="s">
        <v>143</v>
      </c>
      <c r="B182" s="20" t="s">
        <v>144</v>
      </c>
      <c r="C182" s="20"/>
      <c r="D182" s="21">
        <f>D183</f>
        <v>0</v>
      </c>
      <c r="E182" s="21">
        <f>E183</f>
        <v>5738891.26</v>
      </c>
      <c r="F182" s="21">
        <f t="shared" si="2"/>
        <v>5738891.26</v>
      </c>
    </row>
    <row r="183" spans="1:6" s="22" customFormat="1" ht="31.5">
      <c r="A183" s="23" t="s">
        <v>14</v>
      </c>
      <c r="B183" s="20" t="s">
        <v>144</v>
      </c>
      <c r="C183" s="20">
        <v>600</v>
      </c>
      <c r="D183" s="21">
        <f>D184</f>
        <v>0</v>
      </c>
      <c r="E183" s="21">
        <f>E184</f>
        <v>5738891.26</v>
      </c>
      <c r="F183" s="21">
        <f t="shared" si="2"/>
        <v>5738891.26</v>
      </c>
    </row>
    <row r="184" spans="1:6" s="22" customFormat="1" ht="15.75">
      <c r="A184" s="23" t="s">
        <v>15</v>
      </c>
      <c r="B184" s="20" t="s">
        <v>144</v>
      </c>
      <c r="C184" s="20">
        <v>610</v>
      </c>
      <c r="D184" s="21">
        <v>0</v>
      </c>
      <c r="E184" s="21">
        <f>1332641.26+4406250</f>
        <v>5738891.26</v>
      </c>
      <c r="F184" s="21">
        <f t="shared" si="2"/>
        <v>5738891.26</v>
      </c>
    </row>
    <row r="185" spans="1:6" s="22" customFormat="1" ht="47.25">
      <c r="A185" s="19" t="s">
        <v>145</v>
      </c>
      <c r="B185" s="20" t="s">
        <v>146</v>
      </c>
      <c r="C185" s="20"/>
      <c r="D185" s="21">
        <f>SUM(D186,D189)</f>
        <v>133784758</v>
      </c>
      <c r="E185" s="21">
        <f>SUM(E186,E189)</f>
        <v>6092487.99</v>
      </c>
      <c r="F185" s="21">
        <f t="shared" si="2"/>
        <v>139877245.99</v>
      </c>
    </row>
    <row r="186" spans="1:6" s="22" customFormat="1" ht="31.5">
      <c r="A186" s="19" t="s">
        <v>147</v>
      </c>
      <c r="B186" s="20" t="s">
        <v>148</v>
      </c>
      <c r="C186" s="20"/>
      <c r="D186" s="21">
        <f>D187</f>
        <v>130784758</v>
      </c>
      <c r="E186" s="21">
        <f>E187</f>
        <v>6092487.99</v>
      </c>
      <c r="F186" s="21">
        <f t="shared" si="2"/>
        <v>136877245.99</v>
      </c>
    </row>
    <row r="187" spans="1:6" s="22" customFormat="1" ht="31.5">
      <c r="A187" s="23" t="s">
        <v>14</v>
      </c>
      <c r="B187" s="20" t="s">
        <v>148</v>
      </c>
      <c r="C187" s="20">
        <v>600</v>
      </c>
      <c r="D187" s="21">
        <f>D188</f>
        <v>130784758</v>
      </c>
      <c r="E187" s="21">
        <f>E188</f>
        <v>6092487.99</v>
      </c>
      <c r="F187" s="21">
        <f t="shared" si="2"/>
        <v>136877245.99</v>
      </c>
    </row>
    <row r="188" spans="1:6" s="22" customFormat="1" ht="15.75">
      <c r="A188" s="23" t="s">
        <v>15</v>
      </c>
      <c r="B188" s="20" t="s">
        <v>148</v>
      </c>
      <c r="C188" s="20">
        <v>610</v>
      </c>
      <c r="D188" s="21">
        <v>130784758</v>
      </c>
      <c r="E188" s="21">
        <f>2127728.99+3964759</f>
        <v>6092487.99</v>
      </c>
      <c r="F188" s="21">
        <f t="shared" si="2"/>
        <v>136877245.99</v>
      </c>
    </row>
    <row r="189" spans="1:6" s="22" customFormat="1" ht="47.25">
      <c r="A189" s="19" t="s">
        <v>149</v>
      </c>
      <c r="B189" s="20" t="s">
        <v>150</v>
      </c>
      <c r="C189" s="20"/>
      <c r="D189" s="21">
        <f>D190</f>
        <v>3000000</v>
      </c>
      <c r="E189" s="21">
        <f>E190</f>
        <v>0</v>
      </c>
      <c r="F189" s="21">
        <f t="shared" si="2"/>
        <v>3000000</v>
      </c>
    </row>
    <row r="190" spans="1:6" s="22" customFormat="1" ht="31.5">
      <c r="A190" s="23" t="s">
        <v>14</v>
      </c>
      <c r="B190" s="20" t="s">
        <v>150</v>
      </c>
      <c r="C190" s="20">
        <v>600</v>
      </c>
      <c r="D190" s="21">
        <f>D191</f>
        <v>3000000</v>
      </c>
      <c r="E190" s="21">
        <f>E191</f>
        <v>0</v>
      </c>
      <c r="F190" s="21">
        <f t="shared" si="2"/>
        <v>3000000</v>
      </c>
    </row>
    <row r="191" spans="1:6" s="22" customFormat="1" ht="15.75">
      <c r="A191" s="23" t="s">
        <v>15</v>
      </c>
      <c r="B191" s="20" t="s">
        <v>150</v>
      </c>
      <c r="C191" s="20">
        <v>610</v>
      </c>
      <c r="D191" s="21">
        <v>3000000</v>
      </c>
      <c r="E191" s="21">
        <v>0</v>
      </c>
      <c r="F191" s="21">
        <f t="shared" si="2"/>
        <v>3000000</v>
      </c>
    </row>
    <row r="192" spans="1:6" s="22" customFormat="1" ht="47.25">
      <c r="A192" s="23" t="s">
        <v>151</v>
      </c>
      <c r="B192" s="20" t="s">
        <v>152</v>
      </c>
      <c r="C192" s="20"/>
      <c r="D192" s="21">
        <f>SUM(D193,D200)</f>
        <v>45006000</v>
      </c>
      <c r="E192" s="21">
        <f>SUM(E193,E200)</f>
        <v>2788676</v>
      </c>
      <c r="F192" s="21">
        <f t="shared" si="2"/>
        <v>47794676</v>
      </c>
    </row>
    <row r="193" spans="1:6" s="22" customFormat="1" ht="31.5">
      <c r="A193" s="23" t="s">
        <v>153</v>
      </c>
      <c r="B193" s="20" t="s">
        <v>154</v>
      </c>
      <c r="C193" s="20"/>
      <c r="D193" s="24">
        <f>SUM(D194,D196,D198)</f>
        <v>5953000</v>
      </c>
      <c r="E193" s="24">
        <f>SUM(E194,E196,E198)</f>
        <v>1050566</v>
      </c>
      <c r="F193" s="21">
        <f t="shared" si="2"/>
        <v>7003566</v>
      </c>
    </row>
    <row r="194" spans="1:6" s="22" customFormat="1" ht="78.75">
      <c r="A194" s="29" t="s">
        <v>80</v>
      </c>
      <c r="B194" s="20" t="s">
        <v>154</v>
      </c>
      <c r="C194" s="30" t="s">
        <v>81</v>
      </c>
      <c r="D194" s="21">
        <f>D195</f>
        <v>5600000</v>
      </c>
      <c r="E194" s="21">
        <f>E195</f>
        <v>1050566</v>
      </c>
      <c r="F194" s="21">
        <f t="shared" si="2"/>
        <v>6650566</v>
      </c>
    </row>
    <row r="195" spans="1:6" s="22" customFormat="1" ht="31.5">
      <c r="A195" s="29" t="s">
        <v>82</v>
      </c>
      <c r="B195" s="20" t="s">
        <v>154</v>
      </c>
      <c r="C195" s="30" t="s">
        <v>83</v>
      </c>
      <c r="D195" s="21">
        <v>5600000</v>
      </c>
      <c r="E195" s="21">
        <v>1050566</v>
      </c>
      <c r="F195" s="21">
        <f t="shared" si="2"/>
        <v>6650566</v>
      </c>
    </row>
    <row r="196" spans="1:6" s="22" customFormat="1" ht="31.5">
      <c r="A196" s="26" t="s">
        <v>27</v>
      </c>
      <c r="B196" s="20" t="s">
        <v>154</v>
      </c>
      <c r="C196" s="30" t="s">
        <v>84</v>
      </c>
      <c r="D196" s="21">
        <f>D197</f>
        <v>350000</v>
      </c>
      <c r="E196" s="21">
        <f>E197</f>
        <v>0</v>
      </c>
      <c r="F196" s="21">
        <f t="shared" si="2"/>
        <v>350000</v>
      </c>
    </row>
    <row r="197" spans="1:6" s="14" customFormat="1" ht="31.5">
      <c r="A197" s="26" t="s">
        <v>28</v>
      </c>
      <c r="B197" s="20" t="s">
        <v>154</v>
      </c>
      <c r="C197" s="30" t="s">
        <v>85</v>
      </c>
      <c r="D197" s="21">
        <v>350000</v>
      </c>
      <c r="E197" s="21">
        <v>0</v>
      </c>
      <c r="F197" s="21">
        <f t="shared" si="2"/>
        <v>350000</v>
      </c>
    </row>
    <row r="198" spans="1:6" s="22" customFormat="1" ht="15.75">
      <c r="A198" s="26" t="s">
        <v>17</v>
      </c>
      <c r="B198" s="20" t="s">
        <v>154</v>
      </c>
      <c r="C198" s="30" t="s">
        <v>86</v>
      </c>
      <c r="D198" s="21">
        <f>D199</f>
        <v>3000</v>
      </c>
      <c r="E198" s="21">
        <f>E199</f>
        <v>0</v>
      </c>
      <c r="F198" s="21">
        <f t="shared" si="2"/>
        <v>3000</v>
      </c>
    </row>
    <row r="199" spans="1:6" s="22" customFormat="1" ht="15.75">
      <c r="A199" s="26" t="s">
        <v>87</v>
      </c>
      <c r="B199" s="20" t="s">
        <v>154</v>
      </c>
      <c r="C199" s="30" t="s">
        <v>88</v>
      </c>
      <c r="D199" s="21">
        <v>3000</v>
      </c>
      <c r="E199" s="21">
        <v>0</v>
      </c>
      <c r="F199" s="21">
        <f t="shared" si="2"/>
        <v>3000</v>
      </c>
    </row>
    <row r="200" spans="1:6" ht="31.5">
      <c r="A200" s="23" t="s">
        <v>155</v>
      </c>
      <c r="B200" s="20" t="s">
        <v>156</v>
      </c>
      <c r="C200" s="20"/>
      <c r="D200" s="21">
        <f>SUM(D201,D203,D205)</f>
        <v>39053000</v>
      </c>
      <c r="E200" s="21">
        <f>SUM(E201,E203,E205)</f>
        <v>1738110</v>
      </c>
      <c r="F200" s="21">
        <f aca="true" t="shared" si="3" ref="F200:F263">SUM(D200:E200)</f>
        <v>40791110</v>
      </c>
    </row>
    <row r="201" spans="1:6" ht="78.75">
      <c r="A201" s="29" t="s">
        <v>80</v>
      </c>
      <c r="B201" s="20" t="s">
        <v>156</v>
      </c>
      <c r="C201" s="20">
        <v>100</v>
      </c>
      <c r="D201" s="21">
        <f>D202</f>
        <v>37800000</v>
      </c>
      <c r="E201" s="21">
        <f>E202</f>
        <v>1738110</v>
      </c>
      <c r="F201" s="21">
        <f t="shared" si="3"/>
        <v>39538110</v>
      </c>
    </row>
    <row r="202" spans="1:6" ht="15.75">
      <c r="A202" s="29" t="s">
        <v>91</v>
      </c>
      <c r="B202" s="20" t="s">
        <v>156</v>
      </c>
      <c r="C202" s="20">
        <v>110</v>
      </c>
      <c r="D202" s="21">
        <v>37800000</v>
      </c>
      <c r="E202" s="21">
        <v>1738110</v>
      </c>
      <c r="F202" s="21">
        <f t="shared" si="3"/>
        <v>39538110</v>
      </c>
    </row>
    <row r="203" spans="1:6" ht="31.5">
      <c r="A203" s="26" t="s">
        <v>27</v>
      </c>
      <c r="B203" s="20" t="s">
        <v>156</v>
      </c>
      <c r="C203" s="20">
        <v>200</v>
      </c>
      <c r="D203" s="21">
        <f>D204</f>
        <v>1250000</v>
      </c>
      <c r="E203" s="21">
        <f>E204</f>
        <v>1467</v>
      </c>
      <c r="F203" s="21">
        <f t="shared" si="3"/>
        <v>1251467</v>
      </c>
    </row>
    <row r="204" spans="1:6" ht="31.5">
      <c r="A204" s="26" t="s">
        <v>28</v>
      </c>
      <c r="B204" s="20" t="s">
        <v>156</v>
      </c>
      <c r="C204" s="20">
        <v>240</v>
      </c>
      <c r="D204" s="21">
        <v>1250000</v>
      </c>
      <c r="E204" s="21">
        <v>1467</v>
      </c>
      <c r="F204" s="21">
        <f t="shared" si="3"/>
        <v>1251467</v>
      </c>
    </row>
    <row r="205" spans="1:6" ht="15.75">
      <c r="A205" s="26" t="s">
        <v>17</v>
      </c>
      <c r="B205" s="20" t="s">
        <v>156</v>
      </c>
      <c r="C205" s="30" t="s">
        <v>86</v>
      </c>
      <c r="D205" s="21">
        <f>D206</f>
        <v>3000</v>
      </c>
      <c r="E205" s="21">
        <f>E206</f>
        <v>-1467</v>
      </c>
      <c r="F205" s="21">
        <f t="shared" si="3"/>
        <v>1533</v>
      </c>
    </row>
    <row r="206" spans="1:6" ht="15.75">
      <c r="A206" s="26" t="s">
        <v>87</v>
      </c>
      <c r="B206" s="20" t="s">
        <v>156</v>
      </c>
      <c r="C206" s="30" t="s">
        <v>88</v>
      </c>
      <c r="D206" s="21">
        <v>3000</v>
      </c>
      <c r="E206" s="21">
        <v>-1467</v>
      </c>
      <c r="F206" s="21">
        <f t="shared" si="3"/>
        <v>1533</v>
      </c>
    </row>
    <row r="207" spans="1:6" ht="31.5">
      <c r="A207" s="15" t="s">
        <v>157</v>
      </c>
      <c r="B207" s="16" t="s">
        <v>158</v>
      </c>
      <c r="C207" s="16"/>
      <c r="D207" s="17">
        <f>SUM(D208,D211)</f>
        <v>8800000</v>
      </c>
      <c r="E207" s="17">
        <f>SUM(E208,E211)</f>
        <v>752800</v>
      </c>
      <c r="F207" s="17">
        <f t="shared" si="3"/>
        <v>9552800</v>
      </c>
    </row>
    <row r="208" spans="1:6" ht="31.5">
      <c r="A208" s="23" t="s">
        <v>159</v>
      </c>
      <c r="B208" s="20" t="s">
        <v>160</v>
      </c>
      <c r="C208" s="20"/>
      <c r="D208" s="21">
        <f>D209</f>
        <v>600000</v>
      </c>
      <c r="E208" s="21">
        <f>E209</f>
        <v>158100</v>
      </c>
      <c r="F208" s="21">
        <f t="shared" si="3"/>
        <v>758100</v>
      </c>
    </row>
    <row r="209" spans="1:6" ht="31.5">
      <c r="A209" s="23" t="s">
        <v>14</v>
      </c>
      <c r="B209" s="20" t="s">
        <v>160</v>
      </c>
      <c r="C209" s="20">
        <v>600</v>
      </c>
      <c r="D209" s="21">
        <f>D210</f>
        <v>600000</v>
      </c>
      <c r="E209" s="21">
        <f>E210</f>
        <v>158100</v>
      </c>
      <c r="F209" s="21">
        <f t="shared" si="3"/>
        <v>758100</v>
      </c>
    </row>
    <row r="210" spans="1:6" ht="15.75">
      <c r="A210" s="23" t="s">
        <v>15</v>
      </c>
      <c r="B210" s="20" t="s">
        <v>160</v>
      </c>
      <c r="C210" s="20">
        <v>610</v>
      </c>
      <c r="D210" s="24">
        <v>600000</v>
      </c>
      <c r="E210" s="24">
        <v>158100</v>
      </c>
      <c r="F210" s="21">
        <f t="shared" si="3"/>
        <v>758100</v>
      </c>
    </row>
    <row r="211" spans="1:6" ht="31.5">
      <c r="A211" s="23" t="s">
        <v>161</v>
      </c>
      <c r="B211" s="20" t="s">
        <v>162</v>
      </c>
      <c r="C211" s="20"/>
      <c r="D211" s="24">
        <f>D212</f>
        <v>8200000</v>
      </c>
      <c r="E211" s="24">
        <f>E212</f>
        <v>594700</v>
      </c>
      <c r="F211" s="21">
        <f t="shared" si="3"/>
        <v>8794700</v>
      </c>
    </row>
    <row r="212" spans="1:6" s="14" customFormat="1" ht="31.5">
      <c r="A212" s="23" t="s">
        <v>14</v>
      </c>
      <c r="B212" s="20" t="s">
        <v>162</v>
      </c>
      <c r="C212" s="20">
        <v>600</v>
      </c>
      <c r="D212" s="24">
        <f>D213</f>
        <v>8200000</v>
      </c>
      <c r="E212" s="24">
        <f>E213</f>
        <v>594700</v>
      </c>
      <c r="F212" s="21">
        <f t="shared" si="3"/>
        <v>8794700</v>
      </c>
    </row>
    <row r="213" spans="1:6" s="14" customFormat="1" ht="15.75">
      <c r="A213" s="23" t="s">
        <v>15</v>
      </c>
      <c r="B213" s="20" t="s">
        <v>162</v>
      </c>
      <c r="C213" s="20">
        <v>610</v>
      </c>
      <c r="D213" s="24">
        <v>8200000</v>
      </c>
      <c r="E213" s="24">
        <v>594700</v>
      </c>
      <c r="F213" s="21">
        <f t="shared" si="3"/>
        <v>8794700</v>
      </c>
    </row>
    <row r="214" spans="1:6" s="14" customFormat="1" ht="31.5">
      <c r="A214" s="15" t="s">
        <v>163</v>
      </c>
      <c r="B214" s="16" t="s">
        <v>164</v>
      </c>
      <c r="C214" s="16"/>
      <c r="D214" s="17">
        <f>D215+D218+D221+D230+D234+D239+D224+D227</f>
        <v>142060029</v>
      </c>
      <c r="E214" s="17">
        <f>E215+E218+E221+E230+E234+E239+E224+E227</f>
        <v>49844022.9</v>
      </c>
      <c r="F214" s="17">
        <f t="shared" si="3"/>
        <v>191904051.9</v>
      </c>
    </row>
    <row r="215" spans="1:6" s="14" customFormat="1" ht="31.5">
      <c r="A215" s="34" t="s">
        <v>165</v>
      </c>
      <c r="B215" s="20" t="s">
        <v>166</v>
      </c>
      <c r="C215" s="20"/>
      <c r="D215" s="21">
        <f>D216</f>
        <v>2500000</v>
      </c>
      <c r="E215" s="21">
        <f>E216</f>
        <v>1067000</v>
      </c>
      <c r="F215" s="21">
        <f t="shared" si="3"/>
        <v>3567000</v>
      </c>
    </row>
    <row r="216" spans="1:6" s="22" customFormat="1" ht="31.5">
      <c r="A216" s="23" t="s">
        <v>14</v>
      </c>
      <c r="B216" s="20" t="s">
        <v>166</v>
      </c>
      <c r="C216" s="20">
        <v>600</v>
      </c>
      <c r="D216" s="21">
        <f>D217</f>
        <v>2500000</v>
      </c>
      <c r="E216" s="21">
        <f>E217</f>
        <v>1067000</v>
      </c>
      <c r="F216" s="21">
        <f t="shared" si="3"/>
        <v>3567000</v>
      </c>
    </row>
    <row r="217" spans="1:6" s="14" customFormat="1" ht="15.75">
      <c r="A217" s="23" t="s">
        <v>61</v>
      </c>
      <c r="B217" s="20" t="s">
        <v>166</v>
      </c>
      <c r="C217" s="20">
        <v>620</v>
      </c>
      <c r="D217" s="21">
        <v>2500000</v>
      </c>
      <c r="E217" s="27">
        <f>687000+250000+130000</f>
        <v>1067000</v>
      </c>
      <c r="F217" s="21">
        <f t="shared" si="3"/>
        <v>3567000</v>
      </c>
    </row>
    <row r="218" spans="1:6" s="14" customFormat="1" ht="31.5">
      <c r="A218" s="23" t="s">
        <v>167</v>
      </c>
      <c r="B218" s="20" t="s">
        <v>168</v>
      </c>
      <c r="C218" s="20"/>
      <c r="D218" s="21">
        <f>D219</f>
        <v>12000000</v>
      </c>
      <c r="E218" s="21">
        <f>E219</f>
        <v>0</v>
      </c>
      <c r="F218" s="21">
        <f t="shared" si="3"/>
        <v>12000000</v>
      </c>
    </row>
    <row r="219" spans="1:6" s="14" customFormat="1" ht="15.75">
      <c r="A219" s="23" t="s">
        <v>17</v>
      </c>
      <c r="B219" s="20" t="s">
        <v>168</v>
      </c>
      <c r="C219" s="20">
        <v>800</v>
      </c>
      <c r="D219" s="21">
        <f>D220</f>
        <v>12000000</v>
      </c>
      <c r="E219" s="21">
        <f>E220</f>
        <v>0</v>
      </c>
      <c r="F219" s="21">
        <f t="shared" si="3"/>
        <v>12000000</v>
      </c>
    </row>
    <row r="220" spans="1:6" s="14" customFormat="1" ht="63">
      <c r="A220" s="23" t="s">
        <v>18</v>
      </c>
      <c r="B220" s="20" t="s">
        <v>168</v>
      </c>
      <c r="C220" s="20">
        <v>810</v>
      </c>
      <c r="D220" s="21">
        <v>12000000</v>
      </c>
      <c r="E220" s="21">
        <v>0</v>
      </c>
      <c r="F220" s="21">
        <f t="shared" si="3"/>
        <v>12000000</v>
      </c>
    </row>
    <row r="221" spans="1:6" s="14" customFormat="1" ht="47.25">
      <c r="A221" s="23" t="s">
        <v>169</v>
      </c>
      <c r="B221" s="20" t="s">
        <v>170</v>
      </c>
      <c r="C221" s="20"/>
      <c r="D221" s="21">
        <f>D222</f>
        <v>30500000</v>
      </c>
      <c r="E221" s="21">
        <f>E222</f>
        <v>-3155000</v>
      </c>
      <c r="F221" s="21">
        <f t="shared" si="3"/>
        <v>27345000</v>
      </c>
    </row>
    <row r="222" spans="1:6" s="14" customFormat="1" ht="15.75">
      <c r="A222" s="23" t="s">
        <v>17</v>
      </c>
      <c r="B222" s="20" t="s">
        <v>170</v>
      </c>
      <c r="C222" s="20">
        <v>800</v>
      </c>
      <c r="D222" s="21">
        <f>D223</f>
        <v>30500000</v>
      </c>
      <c r="E222" s="21">
        <f>E223</f>
        <v>-3155000</v>
      </c>
      <c r="F222" s="21">
        <f t="shared" si="3"/>
        <v>27345000</v>
      </c>
    </row>
    <row r="223" spans="1:6" s="14" customFormat="1" ht="50.25" customHeight="1">
      <c r="A223" s="23" t="s">
        <v>18</v>
      </c>
      <c r="B223" s="20" t="s">
        <v>170</v>
      </c>
      <c r="C223" s="20">
        <v>810</v>
      </c>
      <c r="D223" s="21">
        <v>30500000</v>
      </c>
      <c r="E223" s="21">
        <f>-3000000-155000</f>
        <v>-3155000</v>
      </c>
      <c r="F223" s="21">
        <f t="shared" si="3"/>
        <v>27345000</v>
      </c>
    </row>
    <row r="224" spans="1:6" s="14" customFormat="1" ht="78.75">
      <c r="A224" s="23" t="s">
        <v>171</v>
      </c>
      <c r="B224" s="20" t="s">
        <v>172</v>
      </c>
      <c r="C224" s="20"/>
      <c r="D224" s="21">
        <f>D225</f>
        <v>0</v>
      </c>
      <c r="E224" s="21">
        <f>E225</f>
        <v>23362343.9</v>
      </c>
      <c r="F224" s="21">
        <f t="shared" si="3"/>
        <v>23362343.9</v>
      </c>
    </row>
    <row r="225" spans="1:6" s="14" customFormat="1" ht="31.5">
      <c r="A225" s="23" t="s">
        <v>14</v>
      </c>
      <c r="B225" s="20" t="s">
        <v>172</v>
      </c>
      <c r="C225" s="20">
        <v>600</v>
      </c>
      <c r="D225" s="21">
        <f>D226</f>
        <v>0</v>
      </c>
      <c r="E225" s="21">
        <f>E226</f>
        <v>23362343.9</v>
      </c>
      <c r="F225" s="21">
        <f t="shared" si="3"/>
        <v>23362343.9</v>
      </c>
    </row>
    <row r="226" spans="1:6" s="14" customFormat="1" ht="15.75">
      <c r="A226" s="23" t="s">
        <v>15</v>
      </c>
      <c r="B226" s="20" t="s">
        <v>172</v>
      </c>
      <c r="C226" s="20">
        <v>610</v>
      </c>
      <c r="D226" s="21">
        <v>0</v>
      </c>
      <c r="E226" s="21">
        <f>25150087.95-1787744.05</f>
        <v>23362343.9</v>
      </c>
      <c r="F226" s="21">
        <f t="shared" si="3"/>
        <v>23362343.9</v>
      </c>
    </row>
    <row r="227" spans="1:6" s="14" customFormat="1" ht="94.5">
      <c r="A227" s="23" t="s">
        <v>173</v>
      </c>
      <c r="B227" s="20" t="s">
        <v>174</v>
      </c>
      <c r="C227" s="20"/>
      <c r="D227" s="21">
        <f>D228</f>
        <v>0</v>
      </c>
      <c r="E227" s="21">
        <f>E228</f>
        <v>732600</v>
      </c>
      <c r="F227" s="21">
        <f t="shared" si="3"/>
        <v>732600</v>
      </c>
    </row>
    <row r="228" spans="1:6" s="14" customFormat="1" ht="31.5">
      <c r="A228" s="23" t="s">
        <v>14</v>
      </c>
      <c r="B228" s="20" t="s">
        <v>174</v>
      </c>
      <c r="C228" s="20">
        <v>600</v>
      </c>
      <c r="D228" s="21">
        <f>D229</f>
        <v>0</v>
      </c>
      <c r="E228" s="21">
        <f>E229</f>
        <v>732600</v>
      </c>
      <c r="F228" s="21">
        <f t="shared" si="3"/>
        <v>732600</v>
      </c>
    </row>
    <row r="229" spans="1:6" s="14" customFormat="1" ht="15.75">
      <c r="A229" s="23" t="s">
        <v>61</v>
      </c>
      <c r="B229" s="20" t="s">
        <v>174</v>
      </c>
      <c r="C229" s="20">
        <v>620</v>
      </c>
      <c r="D229" s="21">
        <v>0</v>
      </c>
      <c r="E229" s="21">
        <v>732600</v>
      </c>
      <c r="F229" s="21">
        <f t="shared" si="3"/>
        <v>732600</v>
      </c>
    </row>
    <row r="230" spans="1:6" s="14" customFormat="1" ht="31.5">
      <c r="A230" s="23" t="s">
        <v>175</v>
      </c>
      <c r="B230" s="20" t="s">
        <v>176</v>
      </c>
      <c r="C230" s="20"/>
      <c r="D230" s="21">
        <f>D231</f>
        <v>92300000</v>
      </c>
      <c r="E230" s="21">
        <f>E231</f>
        <v>28201209</v>
      </c>
      <c r="F230" s="21">
        <f t="shared" si="3"/>
        <v>120501209</v>
      </c>
    </row>
    <row r="231" spans="1:6" s="14" customFormat="1" ht="31.5">
      <c r="A231" s="23" t="s">
        <v>14</v>
      </c>
      <c r="B231" s="20" t="s">
        <v>176</v>
      </c>
      <c r="C231" s="20">
        <v>600</v>
      </c>
      <c r="D231" s="21">
        <f>SUM(D232,D233)</f>
        <v>92300000</v>
      </c>
      <c r="E231" s="21">
        <f>SUM(E232,E233)</f>
        <v>28201209</v>
      </c>
      <c r="F231" s="21">
        <f t="shared" si="3"/>
        <v>120501209</v>
      </c>
    </row>
    <row r="232" spans="1:6" s="14" customFormat="1" ht="15.75">
      <c r="A232" s="23" t="s">
        <v>15</v>
      </c>
      <c r="B232" s="20" t="s">
        <v>176</v>
      </c>
      <c r="C232" s="20">
        <v>610</v>
      </c>
      <c r="D232" s="21">
        <v>28000000</v>
      </c>
      <c r="E232" s="21">
        <v>22413</v>
      </c>
      <c r="F232" s="21">
        <f t="shared" si="3"/>
        <v>28022413</v>
      </c>
    </row>
    <row r="233" spans="1:6" s="14" customFormat="1" ht="15.75">
      <c r="A233" s="23" t="s">
        <v>61</v>
      </c>
      <c r="B233" s="20" t="s">
        <v>176</v>
      </c>
      <c r="C233" s="20">
        <v>620</v>
      </c>
      <c r="D233" s="21">
        <v>64300000</v>
      </c>
      <c r="E233" s="21">
        <f>11300000+341796+14000000+155000+200000+2000000-250000+250000+182000</f>
        <v>28178796</v>
      </c>
      <c r="F233" s="21">
        <f t="shared" si="3"/>
        <v>92478796</v>
      </c>
    </row>
    <row r="234" spans="1:6" s="14" customFormat="1" ht="47.25">
      <c r="A234" s="23" t="s">
        <v>177</v>
      </c>
      <c r="B234" s="20" t="s">
        <v>178</v>
      </c>
      <c r="C234" s="20"/>
      <c r="D234" s="21">
        <f>D235+D237</f>
        <v>290880</v>
      </c>
      <c r="E234" s="21">
        <f>E235+E237</f>
        <v>-140000</v>
      </c>
      <c r="F234" s="21">
        <f t="shared" si="3"/>
        <v>150880</v>
      </c>
    </row>
    <row r="235" spans="1:6" s="14" customFormat="1" ht="31.5">
      <c r="A235" s="26" t="s">
        <v>27</v>
      </c>
      <c r="B235" s="20" t="s">
        <v>178</v>
      </c>
      <c r="C235" s="20">
        <v>200</v>
      </c>
      <c r="D235" s="21">
        <f>D236</f>
        <v>2880</v>
      </c>
      <c r="E235" s="21">
        <f>E236</f>
        <v>0</v>
      </c>
      <c r="F235" s="21">
        <f t="shared" si="3"/>
        <v>2880</v>
      </c>
    </row>
    <row r="236" spans="1:6" s="31" customFormat="1" ht="31.5">
      <c r="A236" s="26" t="s">
        <v>28</v>
      </c>
      <c r="B236" s="20" t="s">
        <v>178</v>
      </c>
      <c r="C236" s="20">
        <v>240</v>
      </c>
      <c r="D236" s="21">
        <v>2880</v>
      </c>
      <c r="E236" s="21">
        <v>0</v>
      </c>
      <c r="F236" s="21">
        <f t="shared" si="3"/>
        <v>2880</v>
      </c>
    </row>
    <row r="237" spans="1:6" s="31" customFormat="1" ht="15.75">
      <c r="A237" s="23" t="s">
        <v>29</v>
      </c>
      <c r="B237" s="20" t="s">
        <v>178</v>
      </c>
      <c r="C237" s="20">
        <v>300</v>
      </c>
      <c r="D237" s="21">
        <f>D238</f>
        <v>288000</v>
      </c>
      <c r="E237" s="21">
        <f>E238</f>
        <v>-140000</v>
      </c>
      <c r="F237" s="21">
        <f t="shared" si="3"/>
        <v>148000</v>
      </c>
    </row>
    <row r="238" spans="1:7" s="14" customFormat="1" ht="31.5">
      <c r="A238" s="23" t="s">
        <v>30</v>
      </c>
      <c r="B238" s="20" t="s">
        <v>178</v>
      </c>
      <c r="C238" s="20">
        <v>320</v>
      </c>
      <c r="D238" s="21">
        <v>288000</v>
      </c>
      <c r="E238" s="21">
        <v>-140000</v>
      </c>
      <c r="F238" s="21">
        <f t="shared" si="3"/>
        <v>148000</v>
      </c>
      <c r="G238" s="22"/>
    </row>
    <row r="239" spans="1:7" s="14" customFormat="1" ht="141.75">
      <c r="A239" s="25" t="s">
        <v>179</v>
      </c>
      <c r="B239" s="20" t="s">
        <v>180</v>
      </c>
      <c r="C239" s="20"/>
      <c r="D239" s="21">
        <f>D240</f>
        <v>4469149</v>
      </c>
      <c r="E239" s="21">
        <f>E240</f>
        <v>-224130</v>
      </c>
      <c r="F239" s="21">
        <f t="shared" si="3"/>
        <v>4245019</v>
      </c>
      <c r="G239" s="22"/>
    </row>
    <row r="240" spans="1:7" s="14" customFormat="1" ht="31.5">
      <c r="A240" s="23" t="s">
        <v>14</v>
      </c>
      <c r="B240" s="20" t="s">
        <v>180</v>
      </c>
      <c r="C240" s="20">
        <v>600</v>
      </c>
      <c r="D240" s="21">
        <f>SUM(D241:D242)</f>
        <v>4469149</v>
      </c>
      <c r="E240" s="21">
        <f>SUM(E241:E242)</f>
        <v>-224130</v>
      </c>
      <c r="F240" s="21">
        <f t="shared" si="3"/>
        <v>4245019</v>
      </c>
      <c r="G240" s="22"/>
    </row>
    <row r="241" spans="1:7" s="14" customFormat="1" ht="15.75">
      <c r="A241" s="23" t="s">
        <v>15</v>
      </c>
      <c r="B241" s="20" t="s">
        <v>180</v>
      </c>
      <c r="C241" s="20">
        <v>610</v>
      </c>
      <c r="D241" s="21">
        <f>200000+1800000</f>
        <v>2000000</v>
      </c>
      <c r="E241" s="21">
        <f>-201717-22413</f>
        <v>-224130</v>
      </c>
      <c r="F241" s="21">
        <f t="shared" si="3"/>
        <v>1775870</v>
      </c>
      <c r="G241" s="22"/>
    </row>
    <row r="242" spans="1:7" s="14" customFormat="1" ht="15.75">
      <c r="A242" s="23" t="s">
        <v>61</v>
      </c>
      <c r="B242" s="20" t="s">
        <v>180</v>
      </c>
      <c r="C242" s="20">
        <v>620</v>
      </c>
      <c r="D242" s="21">
        <f>246915+2222234</f>
        <v>2469149</v>
      </c>
      <c r="E242" s="21">
        <v>0</v>
      </c>
      <c r="F242" s="21">
        <f t="shared" si="3"/>
        <v>2469149</v>
      </c>
      <c r="G242" s="22"/>
    </row>
    <row r="243" spans="1:6" s="22" customFormat="1" ht="31.5">
      <c r="A243" s="15" t="s">
        <v>181</v>
      </c>
      <c r="B243" s="16" t="s">
        <v>182</v>
      </c>
      <c r="C243" s="16"/>
      <c r="D243" s="17">
        <f>D244+D348+D368+D374+D378</f>
        <v>995454226.48</v>
      </c>
      <c r="E243" s="17">
        <f>E244+E348+E368+E374+E378</f>
        <v>-7663029.380000001</v>
      </c>
      <c r="F243" s="17">
        <f t="shared" si="3"/>
        <v>987791197.1</v>
      </c>
    </row>
    <row r="244" spans="1:6" s="22" customFormat="1" ht="47.25">
      <c r="A244" s="23" t="s">
        <v>183</v>
      </c>
      <c r="B244" s="20" t="s">
        <v>184</v>
      </c>
      <c r="C244" s="20"/>
      <c r="D244" s="21">
        <f>D245+D250+D255+D260+D265+D270+D275+D281+D286+D289+D294+D297+D302+D307+D312+D317+D320+D326+D331+D336+D342+D345+D323+D339</f>
        <v>927982569</v>
      </c>
      <c r="E244" s="21">
        <f>E245+E250+E255+E260+E265+E270+E275+E281+E286+E289+E294+E297+E302+E307+E312+E317+E320+E326+E331+E336+E342+E345+E323+E339</f>
        <v>-10456248</v>
      </c>
      <c r="F244" s="21">
        <f t="shared" si="3"/>
        <v>917526321</v>
      </c>
    </row>
    <row r="245" spans="1:6" s="22" customFormat="1" ht="31.5">
      <c r="A245" s="23" t="s">
        <v>185</v>
      </c>
      <c r="B245" s="20" t="s">
        <v>186</v>
      </c>
      <c r="C245" s="20"/>
      <c r="D245" s="24">
        <f>D248+D246</f>
        <v>105750918</v>
      </c>
      <c r="E245" s="24">
        <f>E248+E246</f>
        <v>-22800000</v>
      </c>
      <c r="F245" s="21">
        <f t="shared" si="3"/>
        <v>82950918</v>
      </c>
    </row>
    <row r="246" spans="1:6" s="22" customFormat="1" ht="31.5">
      <c r="A246" s="26" t="s">
        <v>27</v>
      </c>
      <c r="B246" s="20" t="s">
        <v>186</v>
      </c>
      <c r="C246" s="20">
        <v>200</v>
      </c>
      <c r="D246" s="24">
        <f>D247</f>
        <v>1063893</v>
      </c>
      <c r="E246" s="24">
        <f>E247</f>
        <v>-218575</v>
      </c>
      <c r="F246" s="21">
        <f t="shared" si="3"/>
        <v>845318</v>
      </c>
    </row>
    <row r="247" spans="1:6" s="22" customFormat="1" ht="31.5">
      <c r="A247" s="23" t="s">
        <v>28</v>
      </c>
      <c r="B247" s="20" t="s">
        <v>186</v>
      </c>
      <c r="C247" s="20">
        <v>240</v>
      </c>
      <c r="D247" s="24">
        <v>1063893</v>
      </c>
      <c r="E247" s="24">
        <v>-218575</v>
      </c>
      <c r="F247" s="21">
        <f t="shared" si="3"/>
        <v>845318</v>
      </c>
    </row>
    <row r="248" spans="1:6" s="22" customFormat="1" ht="15.75">
      <c r="A248" s="23" t="s">
        <v>29</v>
      </c>
      <c r="B248" s="20" t="s">
        <v>186</v>
      </c>
      <c r="C248" s="20">
        <v>300</v>
      </c>
      <c r="D248" s="24">
        <f>D249</f>
        <v>104687025</v>
      </c>
      <c r="E248" s="24">
        <f>E249</f>
        <v>-22581425</v>
      </c>
      <c r="F248" s="21">
        <f t="shared" si="3"/>
        <v>82105600</v>
      </c>
    </row>
    <row r="249" spans="1:6" ht="31.5">
      <c r="A249" s="23" t="s">
        <v>187</v>
      </c>
      <c r="B249" s="20" t="s">
        <v>186</v>
      </c>
      <c r="C249" s="20">
        <v>310</v>
      </c>
      <c r="D249" s="24">
        <v>104687025</v>
      </c>
      <c r="E249" s="24">
        <v>-22581425</v>
      </c>
      <c r="F249" s="21">
        <f t="shared" si="3"/>
        <v>82105600</v>
      </c>
    </row>
    <row r="250" spans="1:6" ht="47.25">
      <c r="A250" s="23" t="s">
        <v>188</v>
      </c>
      <c r="B250" s="20" t="s">
        <v>189</v>
      </c>
      <c r="C250" s="20"/>
      <c r="D250" s="24">
        <f>D253+D251</f>
        <v>8553395</v>
      </c>
      <c r="E250" s="24">
        <f>E253+E251</f>
        <v>587743.0000000001</v>
      </c>
      <c r="F250" s="21">
        <f t="shared" si="3"/>
        <v>9141138</v>
      </c>
    </row>
    <row r="251" spans="1:6" ht="31.5">
      <c r="A251" s="26" t="s">
        <v>27</v>
      </c>
      <c r="B251" s="20" t="s">
        <v>189</v>
      </c>
      <c r="C251" s="20">
        <v>200</v>
      </c>
      <c r="D251" s="24">
        <f>D252</f>
        <v>84340</v>
      </c>
      <c r="E251" s="24">
        <f>E252</f>
        <v>5626.16</v>
      </c>
      <c r="F251" s="21">
        <f t="shared" si="3"/>
        <v>89966.16</v>
      </c>
    </row>
    <row r="252" spans="1:6" ht="31.5">
      <c r="A252" s="23" t="s">
        <v>28</v>
      </c>
      <c r="B252" s="20" t="s">
        <v>189</v>
      </c>
      <c r="C252" s="20">
        <v>240</v>
      </c>
      <c r="D252" s="24">
        <v>84340</v>
      </c>
      <c r="E252" s="24">
        <f>5075-914.28+1465.44</f>
        <v>5626.16</v>
      </c>
      <c r="F252" s="21">
        <f t="shared" si="3"/>
        <v>89966.16</v>
      </c>
    </row>
    <row r="253" spans="1:6" ht="15.75">
      <c r="A253" s="23" t="s">
        <v>29</v>
      </c>
      <c r="B253" s="20" t="s">
        <v>189</v>
      </c>
      <c r="C253" s="20">
        <v>300</v>
      </c>
      <c r="D253" s="24">
        <f>D254</f>
        <v>8469055</v>
      </c>
      <c r="E253" s="24">
        <f>E254</f>
        <v>582116.8400000001</v>
      </c>
      <c r="F253" s="21">
        <f t="shared" si="3"/>
        <v>9051171.84</v>
      </c>
    </row>
    <row r="254" spans="1:6" ht="31.5">
      <c r="A254" s="23" t="s">
        <v>187</v>
      </c>
      <c r="B254" s="20" t="s">
        <v>189</v>
      </c>
      <c r="C254" s="20">
        <v>310</v>
      </c>
      <c r="D254" s="24">
        <v>8469055</v>
      </c>
      <c r="E254" s="24">
        <f>409265+31427.28+141424.56</f>
        <v>582116.8400000001</v>
      </c>
      <c r="F254" s="21">
        <f t="shared" si="3"/>
        <v>9051171.84</v>
      </c>
    </row>
    <row r="255" spans="1:6" ht="31.5">
      <c r="A255" s="23" t="s">
        <v>190</v>
      </c>
      <c r="B255" s="20" t="s">
        <v>191</v>
      </c>
      <c r="C255" s="20"/>
      <c r="D255" s="24">
        <f>D258+D256</f>
        <v>34397971</v>
      </c>
      <c r="E255" s="24">
        <f>E258+E256</f>
        <v>-12000000</v>
      </c>
      <c r="F255" s="21">
        <f t="shared" si="3"/>
        <v>22397971</v>
      </c>
    </row>
    <row r="256" spans="1:6" ht="31.5">
      <c r="A256" s="26" t="s">
        <v>27</v>
      </c>
      <c r="B256" s="20" t="s">
        <v>191</v>
      </c>
      <c r="C256" s="20">
        <v>200</v>
      </c>
      <c r="D256" s="24">
        <f>D257</f>
        <v>343980</v>
      </c>
      <c r="E256" s="24">
        <f>E257</f>
        <v>-121978</v>
      </c>
      <c r="F256" s="21">
        <f t="shared" si="3"/>
        <v>222002</v>
      </c>
    </row>
    <row r="257" spans="1:6" ht="31.5">
      <c r="A257" s="23" t="s">
        <v>28</v>
      </c>
      <c r="B257" s="20" t="s">
        <v>191</v>
      </c>
      <c r="C257" s="20">
        <v>240</v>
      </c>
      <c r="D257" s="24">
        <v>343980</v>
      </c>
      <c r="E257" s="24">
        <v>-121978</v>
      </c>
      <c r="F257" s="21">
        <f t="shared" si="3"/>
        <v>222002</v>
      </c>
    </row>
    <row r="258" spans="1:6" ht="15.75">
      <c r="A258" s="23" t="s">
        <v>29</v>
      </c>
      <c r="B258" s="20" t="s">
        <v>191</v>
      </c>
      <c r="C258" s="20">
        <v>300</v>
      </c>
      <c r="D258" s="24">
        <f>D259</f>
        <v>34053991</v>
      </c>
      <c r="E258" s="24">
        <f>E259</f>
        <v>-11878022</v>
      </c>
      <c r="F258" s="21">
        <f t="shared" si="3"/>
        <v>22175969</v>
      </c>
    </row>
    <row r="259" spans="1:6" ht="31.5">
      <c r="A259" s="23" t="s">
        <v>187</v>
      </c>
      <c r="B259" s="20" t="s">
        <v>191</v>
      </c>
      <c r="C259" s="20">
        <v>310</v>
      </c>
      <c r="D259" s="24">
        <v>34053991</v>
      </c>
      <c r="E259" s="24">
        <v>-11878022</v>
      </c>
      <c r="F259" s="21">
        <f t="shared" si="3"/>
        <v>22175969</v>
      </c>
    </row>
    <row r="260" spans="1:6" ht="31.5">
      <c r="A260" s="23" t="s">
        <v>192</v>
      </c>
      <c r="B260" s="20" t="s">
        <v>193</v>
      </c>
      <c r="C260" s="20"/>
      <c r="D260" s="24">
        <f>D263+D261</f>
        <v>20914819</v>
      </c>
      <c r="E260" s="24">
        <f>E263+E261</f>
        <v>423930</v>
      </c>
      <c r="F260" s="21">
        <f t="shared" si="3"/>
        <v>21338749</v>
      </c>
    </row>
    <row r="261" spans="1:6" ht="31.5">
      <c r="A261" s="26" t="s">
        <v>27</v>
      </c>
      <c r="B261" s="20" t="s">
        <v>193</v>
      </c>
      <c r="C261" s="20">
        <v>200</v>
      </c>
      <c r="D261" s="24">
        <f>D262</f>
        <v>1052879</v>
      </c>
      <c r="E261" s="24">
        <f>E262</f>
        <v>403930</v>
      </c>
      <c r="F261" s="21">
        <f t="shared" si="3"/>
        <v>1456809</v>
      </c>
    </row>
    <row r="262" spans="1:6" ht="31.5">
      <c r="A262" s="23" t="s">
        <v>28</v>
      </c>
      <c r="B262" s="20" t="s">
        <v>193</v>
      </c>
      <c r="C262" s="20">
        <v>240</v>
      </c>
      <c r="D262" s="24">
        <v>1052879</v>
      </c>
      <c r="E262" s="24">
        <f>280000+123930</f>
        <v>403930</v>
      </c>
      <c r="F262" s="21">
        <f t="shared" si="3"/>
        <v>1456809</v>
      </c>
    </row>
    <row r="263" spans="1:6" ht="15.75">
      <c r="A263" s="23" t="s">
        <v>29</v>
      </c>
      <c r="B263" s="20" t="s">
        <v>193</v>
      </c>
      <c r="C263" s="20">
        <v>300</v>
      </c>
      <c r="D263" s="24">
        <f>D264</f>
        <v>19861940</v>
      </c>
      <c r="E263" s="24">
        <f>E264</f>
        <v>20000</v>
      </c>
      <c r="F263" s="21">
        <f t="shared" si="3"/>
        <v>19881940</v>
      </c>
    </row>
    <row r="264" spans="1:6" ht="31.5">
      <c r="A264" s="23" t="s">
        <v>187</v>
      </c>
      <c r="B264" s="20" t="s">
        <v>193</v>
      </c>
      <c r="C264" s="20">
        <v>310</v>
      </c>
      <c r="D264" s="24">
        <v>19861940</v>
      </c>
      <c r="E264" s="24">
        <f>-280000+300000</f>
        <v>20000</v>
      </c>
      <c r="F264" s="21">
        <f aca="true" t="shared" si="4" ref="F264:F327">SUM(D264:E264)</f>
        <v>19881940</v>
      </c>
    </row>
    <row r="265" spans="1:6" ht="47.25">
      <c r="A265" s="23" t="s">
        <v>194</v>
      </c>
      <c r="B265" s="20" t="s">
        <v>195</v>
      </c>
      <c r="C265" s="20"/>
      <c r="D265" s="24">
        <f>D268+D266</f>
        <v>529773</v>
      </c>
      <c r="E265" s="24">
        <f>E268+E266</f>
        <v>300000</v>
      </c>
      <c r="F265" s="21">
        <f t="shared" si="4"/>
        <v>829773</v>
      </c>
    </row>
    <row r="266" spans="1:6" ht="31.5">
      <c r="A266" s="26" t="s">
        <v>27</v>
      </c>
      <c r="B266" s="20" t="s">
        <v>195</v>
      </c>
      <c r="C266" s="20">
        <v>200</v>
      </c>
      <c r="D266" s="24">
        <f>D267</f>
        <v>5245</v>
      </c>
      <c r="E266" s="24">
        <f>E267</f>
        <v>2781</v>
      </c>
      <c r="F266" s="21">
        <f t="shared" si="4"/>
        <v>8026</v>
      </c>
    </row>
    <row r="267" spans="1:6" ht="31.5">
      <c r="A267" s="23" t="s">
        <v>28</v>
      </c>
      <c r="B267" s="20" t="s">
        <v>195</v>
      </c>
      <c r="C267" s="20">
        <v>240</v>
      </c>
      <c r="D267" s="24">
        <v>5245</v>
      </c>
      <c r="E267" s="24">
        <v>2781</v>
      </c>
      <c r="F267" s="21">
        <f t="shared" si="4"/>
        <v>8026</v>
      </c>
    </row>
    <row r="268" spans="1:6" ht="15.75">
      <c r="A268" s="23" t="s">
        <v>29</v>
      </c>
      <c r="B268" s="20" t="s">
        <v>195</v>
      </c>
      <c r="C268" s="20">
        <v>300</v>
      </c>
      <c r="D268" s="24">
        <f>D269</f>
        <v>524528</v>
      </c>
      <c r="E268" s="24">
        <f>E269</f>
        <v>297219</v>
      </c>
      <c r="F268" s="21">
        <f t="shared" si="4"/>
        <v>821747</v>
      </c>
    </row>
    <row r="269" spans="1:6" ht="31.5">
      <c r="A269" s="23" t="s">
        <v>187</v>
      </c>
      <c r="B269" s="20" t="s">
        <v>195</v>
      </c>
      <c r="C269" s="20">
        <v>310</v>
      </c>
      <c r="D269" s="24">
        <v>524528</v>
      </c>
      <c r="E269" s="24">
        <v>297219</v>
      </c>
      <c r="F269" s="21">
        <f t="shared" si="4"/>
        <v>821747</v>
      </c>
    </row>
    <row r="270" spans="1:6" ht="47.25">
      <c r="A270" s="23" t="s">
        <v>196</v>
      </c>
      <c r="B270" s="20" t="s">
        <v>197</v>
      </c>
      <c r="C270" s="20"/>
      <c r="D270" s="24">
        <f>D273+D271</f>
        <v>3000000</v>
      </c>
      <c r="E270" s="24">
        <f>E273+E271</f>
        <v>0</v>
      </c>
      <c r="F270" s="21">
        <f t="shared" si="4"/>
        <v>3000000</v>
      </c>
    </row>
    <row r="271" spans="1:6" ht="31.5">
      <c r="A271" s="26" t="s">
        <v>27</v>
      </c>
      <c r="B271" s="20" t="s">
        <v>197</v>
      </c>
      <c r="C271" s="20">
        <v>200</v>
      </c>
      <c r="D271" s="21">
        <f>D272</f>
        <v>29703</v>
      </c>
      <c r="E271" s="21">
        <f>E272</f>
        <v>0</v>
      </c>
      <c r="F271" s="21">
        <f t="shared" si="4"/>
        <v>29703</v>
      </c>
    </row>
    <row r="272" spans="1:6" ht="31.5">
      <c r="A272" s="23" t="s">
        <v>28</v>
      </c>
      <c r="B272" s="20" t="s">
        <v>197</v>
      </c>
      <c r="C272" s="20">
        <v>240</v>
      </c>
      <c r="D272" s="21">
        <v>29703</v>
      </c>
      <c r="E272" s="21">
        <v>0</v>
      </c>
      <c r="F272" s="21">
        <f t="shared" si="4"/>
        <v>29703</v>
      </c>
    </row>
    <row r="273" spans="1:6" ht="15.75">
      <c r="A273" s="23" t="s">
        <v>29</v>
      </c>
      <c r="B273" s="20" t="s">
        <v>197</v>
      </c>
      <c r="C273" s="20">
        <v>300</v>
      </c>
      <c r="D273" s="21">
        <f>D274</f>
        <v>2970297</v>
      </c>
      <c r="E273" s="21">
        <f>E274</f>
        <v>0</v>
      </c>
      <c r="F273" s="21">
        <f t="shared" si="4"/>
        <v>2970297</v>
      </c>
    </row>
    <row r="274" spans="1:6" ht="31.5">
      <c r="A274" s="23" t="s">
        <v>187</v>
      </c>
      <c r="B274" s="20" t="s">
        <v>197</v>
      </c>
      <c r="C274" s="20">
        <v>310</v>
      </c>
      <c r="D274" s="21">
        <v>2970297</v>
      </c>
      <c r="E274" s="21">
        <v>0</v>
      </c>
      <c r="F274" s="21">
        <f t="shared" si="4"/>
        <v>2970297</v>
      </c>
    </row>
    <row r="275" spans="1:6" s="22" customFormat="1" ht="47.25">
      <c r="A275" s="23" t="s">
        <v>198</v>
      </c>
      <c r="B275" s="20" t="s">
        <v>199</v>
      </c>
      <c r="C275" s="20"/>
      <c r="D275" s="24">
        <f>D278+D276</f>
        <v>287793043</v>
      </c>
      <c r="E275" s="35">
        <f>E278+E276</f>
        <v>-20550000</v>
      </c>
      <c r="F275" s="21">
        <f t="shared" si="4"/>
        <v>267243043</v>
      </c>
    </row>
    <row r="276" spans="1:6" s="14" customFormat="1" ht="31.5">
      <c r="A276" s="26" t="s">
        <v>27</v>
      </c>
      <c r="B276" s="20" t="s">
        <v>199</v>
      </c>
      <c r="C276" s="20">
        <v>200</v>
      </c>
      <c r="D276" s="24">
        <f>D277</f>
        <v>2888776</v>
      </c>
      <c r="E276" s="35">
        <f>E277</f>
        <v>220000</v>
      </c>
      <c r="F276" s="21">
        <f t="shared" si="4"/>
        <v>3108776</v>
      </c>
    </row>
    <row r="277" spans="1:6" ht="31.5">
      <c r="A277" s="23" t="s">
        <v>28</v>
      </c>
      <c r="B277" s="20" t="s">
        <v>199</v>
      </c>
      <c r="C277" s="20">
        <v>240</v>
      </c>
      <c r="D277" s="24">
        <v>2888776</v>
      </c>
      <c r="E277" s="35">
        <v>220000</v>
      </c>
      <c r="F277" s="21">
        <f t="shared" si="4"/>
        <v>3108776</v>
      </c>
    </row>
    <row r="278" spans="1:6" ht="15.75">
      <c r="A278" s="23" t="s">
        <v>29</v>
      </c>
      <c r="B278" s="20" t="s">
        <v>199</v>
      </c>
      <c r="C278" s="20">
        <v>300</v>
      </c>
      <c r="D278" s="24">
        <f>SUM(D279:D280)</f>
        <v>284904267</v>
      </c>
      <c r="E278" s="35">
        <f>SUM(E279:E280)</f>
        <v>-20770000</v>
      </c>
      <c r="F278" s="21">
        <f t="shared" si="4"/>
        <v>264134267</v>
      </c>
    </row>
    <row r="279" spans="1:6" ht="31.5">
      <c r="A279" s="23" t="s">
        <v>187</v>
      </c>
      <c r="B279" s="20" t="s">
        <v>199</v>
      </c>
      <c r="C279" s="20">
        <v>310</v>
      </c>
      <c r="D279" s="24">
        <v>247310407</v>
      </c>
      <c r="E279" s="35">
        <f>-5000000-11000000-4050000-720000</f>
        <v>-20770000</v>
      </c>
      <c r="F279" s="21">
        <f t="shared" si="4"/>
        <v>226540407</v>
      </c>
    </row>
    <row r="280" spans="1:6" ht="31.5">
      <c r="A280" s="23" t="s">
        <v>30</v>
      </c>
      <c r="B280" s="20" t="s">
        <v>199</v>
      </c>
      <c r="C280" s="20">
        <v>320</v>
      </c>
      <c r="D280" s="24">
        <f>20590157+17003703</f>
        <v>37593860</v>
      </c>
      <c r="E280" s="35">
        <f>-500000+500000</f>
        <v>0</v>
      </c>
      <c r="F280" s="21">
        <f t="shared" si="4"/>
        <v>37593860</v>
      </c>
    </row>
    <row r="281" spans="1:6" ht="47.25">
      <c r="A281" s="23" t="s">
        <v>200</v>
      </c>
      <c r="B281" s="20" t="s">
        <v>201</v>
      </c>
      <c r="C281" s="20"/>
      <c r="D281" s="24">
        <f>D284+D282</f>
        <v>49263</v>
      </c>
      <c r="E281" s="24">
        <f>E284+E282</f>
        <v>0</v>
      </c>
      <c r="F281" s="21">
        <f t="shared" si="4"/>
        <v>49263</v>
      </c>
    </row>
    <row r="282" spans="1:6" ht="31.5">
      <c r="A282" s="26" t="s">
        <v>27</v>
      </c>
      <c r="B282" s="20" t="s">
        <v>201</v>
      </c>
      <c r="C282" s="20">
        <v>200</v>
      </c>
      <c r="D282" s="24">
        <f>D283</f>
        <v>488</v>
      </c>
      <c r="E282" s="24">
        <f>E283</f>
        <v>0</v>
      </c>
      <c r="F282" s="21">
        <f t="shared" si="4"/>
        <v>488</v>
      </c>
    </row>
    <row r="283" spans="1:6" ht="31.5">
      <c r="A283" s="23" t="s">
        <v>28</v>
      </c>
      <c r="B283" s="20" t="s">
        <v>201</v>
      </c>
      <c r="C283" s="20">
        <v>240</v>
      </c>
      <c r="D283" s="24">
        <v>488</v>
      </c>
      <c r="E283" s="24">
        <v>0</v>
      </c>
      <c r="F283" s="21">
        <f t="shared" si="4"/>
        <v>488</v>
      </c>
    </row>
    <row r="284" spans="1:6" ht="15.75">
      <c r="A284" s="23" t="s">
        <v>29</v>
      </c>
      <c r="B284" s="20" t="s">
        <v>201</v>
      </c>
      <c r="C284" s="20">
        <v>300</v>
      </c>
      <c r="D284" s="24">
        <f>D285</f>
        <v>48775</v>
      </c>
      <c r="E284" s="24">
        <f>E285</f>
        <v>0</v>
      </c>
      <c r="F284" s="21">
        <f t="shared" si="4"/>
        <v>48775</v>
      </c>
    </row>
    <row r="285" spans="1:6" ht="31.5">
      <c r="A285" s="23" t="s">
        <v>187</v>
      </c>
      <c r="B285" s="20" t="s">
        <v>201</v>
      </c>
      <c r="C285" s="20">
        <v>310</v>
      </c>
      <c r="D285" s="24">
        <v>48775</v>
      </c>
      <c r="E285" s="24">
        <v>0</v>
      </c>
      <c r="F285" s="21">
        <f t="shared" si="4"/>
        <v>48775</v>
      </c>
    </row>
    <row r="286" spans="1:6" ht="63">
      <c r="A286" s="23" t="s">
        <v>202</v>
      </c>
      <c r="B286" s="20" t="s">
        <v>203</v>
      </c>
      <c r="C286" s="20"/>
      <c r="D286" s="24">
        <f>D287</f>
        <v>1500000</v>
      </c>
      <c r="E286" s="24">
        <f>E287</f>
        <v>-1000000</v>
      </c>
      <c r="F286" s="21">
        <f t="shared" si="4"/>
        <v>500000</v>
      </c>
    </row>
    <row r="287" spans="1:6" ht="15.75">
      <c r="A287" s="23" t="s">
        <v>29</v>
      </c>
      <c r="B287" s="20" t="s">
        <v>203</v>
      </c>
      <c r="C287" s="20">
        <v>300</v>
      </c>
      <c r="D287" s="24">
        <f>D288</f>
        <v>1500000</v>
      </c>
      <c r="E287" s="24">
        <f>E288</f>
        <v>-1000000</v>
      </c>
      <c r="F287" s="21">
        <f t="shared" si="4"/>
        <v>500000</v>
      </c>
    </row>
    <row r="288" spans="1:6" ht="31.5">
      <c r="A288" s="23" t="s">
        <v>30</v>
      </c>
      <c r="B288" s="20" t="s">
        <v>203</v>
      </c>
      <c r="C288" s="20">
        <v>320</v>
      </c>
      <c r="D288" s="24">
        <f>1000000+500000</f>
        <v>1500000</v>
      </c>
      <c r="E288" s="24">
        <f>-1000000</f>
        <v>-1000000</v>
      </c>
      <c r="F288" s="21">
        <f t="shared" si="4"/>
        <v>500000</v>
      </c>
    </row>
    <row r="289" spans="1:6" ht="31.5">
      <c r="A289" s="23" t="s">
        <v>204</v>
      </c>
      <c r="B289" s="20" t="s">
        <v>205</v>
      </c>
      <c r="C289" s="20"/>
      <c r="D289" s="24">
        <f>D292+D290</f>
        <v>600000</v>
      </c>
      <c r="E289" s="24">
        <f>E292+E290</f>
        <v>0</v>
      </c>
      <c r="F289" s="21">
        <f t="shared" si="4"/>
        <v>600000</v>
      </c>
    </row>
    <row r="290" spans="1:6" ht="31.5">
      <c r="A290" s="26" t="s">
        <v>27</v>
      </c>
      <c r="B290" s="20" t="s">
        <v>205</v>
      </c>
      <c r="C290" s="20">
        <v>200</v>
      </c>
      <c r="D290" s="24">
        <f>D291</f>
        <v>6000</v>
      </c>
      <c r="E290" s="24">
        <f>E291</f>
        <v>0</v>
      </c>
      <c r="F290" s="21">
        <f t="shared" si="4"/>
        <v>6000</v>
      </c>
    </row>
    <row r="291" spans="1:6" ht="31.5">
      <c r="A291" s="23" t="s">
        <v>28</v>
      </c>
      <c r="B291" s="20" t="s">
        <v>205</v>
      </c>
      <c r="C291" s="20">
        <v>240</v>
      </c>
      <c r="D291" s="24">
        <v>6000</v>
      </c>
      <c r="E291" s="24">
        <v>0</v>
      </c>
      <c r="F291" s="21">
        <f t="shared" si="4"/>
        <v>6000</v>
      </c>
    </row>
    <row r="292" spans="1:6" ht="15.75">
      <c r="A292" s="23" t="s">
        <v>29</v>
      </c>
      <c r="B292" s="20" t="s">
        <v>205</v>
      </c>
      <c r="C292" s="20">
        <v>300</v>
      </c>
      <c r="D292" s="24">
        <f>D293</f>
        <v>594000</v>
      </c>
      <c r="E292" s="24">
        <f>E293</f>
        <v>0</v>
      </c>
      <c r="F292" s="21">
        <f t="shared" si="4"/>
        <v>594000</v>
      </c>
    </row>
    <row r="293" spans="1:6" ht="31.5">
      <c r="A293" s="23" t="s">
        <v>187</v>
      </c>
      <c r="B293" s="20" t="s">
        <v>205</v>
      </c>
      <c r="C293" s="20">
        <v>310</v>
      </c>
      <c r="D293" s="24">
        <v>594000</v>
      </c>
      <c r="E293" s="24">
        <v>0</v>
      </c>
      <c r="F293" s="21">
        <f t="shared" si="4"/>
        <v>594000</v>
      </c>
    </row>
    <row r="294" spans="1:6" ht="63">
      <c r="A294" s="23" t="s">
        <v>206</v>
      </c>
      <c r="B294" s="20" t="s">
        <v>207</v>
      </c>
      <c r="C294" s="20"/>
      <c r="D294" s="24">
        <f>SUM(D295)</f>
        <v>100000</v>
      </c>
      <c r="E294" s="24">
        <f>SUM(E295)</f>
        <v>0</v>
      </c>
      <c r="F294" s="21">
        <f t="shared" si="4"/>
        <v>100000</v>
      </c>
    </row>
    <row r="295" spans="1:6" s="22" customFormat="1" ht="15.75">
      <c r="A295" s="23" t="s">
        <v>29</v>
      </c>
      <c r="B295" s="20" t="s">
        <v>207</v>
      </c>
      <c r="C295" s="20">
        <v>300</v>
      </c>
      <c r="D295" s="24">
        <f>D296</f>
        <v>100000</v>
      </c>
      <c r="E295" s="24">
        <f>E296</f>
        <v>0</v>
      </c>
      <c r="F295" s="21">
        <f t="shared" si="4"/>
        <v>100000</v>
      </c>
    </row>
    <row r="296" spans="1:6" s="22" customFormat="1" ht="31.5">
      <c r="A296" s="23" t="s">
        <v>187</v>
      </c>
      <c r="B296" s="20" t="s">
        <v>207</v>
      </c>
      <c r="C296" s="20">
        <v>310</v>
      </c>
      <c r="D296" s="24">
        <v>100000</v>
      </c>
      <c r="E296" s="24">
        <v>0</v>
      </c>
      <c r="F296" s="21">
        <f t="shared" si="4"/>
        <v>100000</v>
      </c>
    </row>
    <row r="297" spans="1:6" s="22" customFormat="1" ht="31.5">
      <c r="A297" s="23" t="s">
        <v>208</v>
      </c>
      <c r="B297" s="20" t="s">
        <v>209</v>
      </c>
      <c r="C297" s="20"/>
      <c r="D297" s="24">
        <f>D300+D298</f>
        <v>800000</v>
      </c>
      <c r="E297" s="24">
        <f>E300+E298</f>
        <v>0</v>
      </c>
      <c r="F297" s="21">
        <f t="shared" si="4"/>
        <v>800000</v>
      </c>
    </row>
    <row r="298" spans="1:6" s="14" customFormat="1" ht="31.5">
      <c r="A298" s="26" t="s">
        <v>27</v>
      </c>
      <c r="B298" s="20" t="s">
        <v>209</v>
      </c>
      <c r="C298" s="20">
        <v>200</v>
      </c>
      <c r="D298" s="24">
        <f>D299</f>
        <v>120000</v>
      </c>
      <c r="E298" s="24">
        <f>E299</f>
        <v>60000</v>
      </c>
      <c r="F298" s="21">
        <f t="shared" si="4"/>
        <v>180000</v>
      </c>
    </row>
    <row r="299" spans="1:6" s="14" customFormat="1" ht="31.5">
      <c r="A299" s="23" t="s">
        <v>28</v>
      </c>
      <c r="B299" s="20" t="s">
        <v>209</v>
      </c>
      <c r="C299" s="20">
        <v>240</v>
      </c>
      <c r="D299" s="24">
        <v>120000</v>
      </c>
      <c r="E299" s="24">
        <v>60000</v>
      </c>
      <c r="F299" s="21">
        <f t="shared" si="4"/>
        <v>180000</v>
      </c>
    </row>
    <row r="300" spans="1:6" s="14" customFormat="1" ht="15.75">
      <c r="A300" s="23" t="s">
        <v>29</v>
      </c>
      <c r="B300" s="20" t="s">
        <v>209</v>
      </c>
      <c r="C300" s="20">
        <v>300</v>
      </c>
      <c r="D300" s="24">
        <f>D301</f>
        <v>680000</v>
      </c>
      <c r="E300" s="24">
        <f>E301</f>
        <v>-60000</v>
      </c>
      <c r="F300" s="21">
        <f t="shared" si="4"/>
        <v>620000</v>
      </c>
    </row>
    <row r="301" spans="1:6" s="14" customFormat="1" ht="31.5">
      <c r="A301" s="23" t="s">
        <v>187</v>
      </c>
      <c r="B301" s="20" t="s">
        <v>209</v>
      </c>
      <c r="C301" s="20">
        <v>310</v>
      </c>
      <c r="D301" s="24">
        <v>680000</v>
      </c>
      <c r="E301" s="24">
        <v>-60000</v>
      </c>
      <c r="F301" s="21">
        <f t="shared" si="4"/>
        <v>620000</v>
      </c>
    </row>
    <row r="302" spans="1:6" s="14" customFormat="1" ht="47.25">
      <c r="A302" s="23" t="s">
        <v>210</v>
      </c>
      <c r="B302" s="20" t="s">
        <v>211</v>
      </c>
      <c r="C302" s="20"/>
      <c r="D302" s="24">
        <f>D305+D303</f>
        <v>4300000</v>
      </c>
      <c r="E302" s="24">
        <f>E305+E303</f>
        <v>0</v>
      </c>
      <c r="F302" s="21">
        <f t="shared" si="4"/>
        <v>4300000</v>
      </c>
    </row>
    <row r="303" spans="1:6" s="22" customFormat="1" ht="31.5">
      <c r="A303" s="26" t="s">
        <v>27</v>
      </c>
      <c r="B303" s="20" t="s">
        <v>211</v>
      </c>
      <c r="C303" s="20">
        <v>200</v>
      </c>
      <c r="D303" s="24">
        <f>D304</f>
        <v>43000</v>
      </c>
      <c r="E303" s="24">
        <f>E304</f>
        <v>0</v>
      </c>
      <c r="F303" s="21">
        <f t="shared" si="4"/>
        <v>43000</v>
      </c>
    </row>
    <row r="304" spans="1:6" s="22" customFormat="1" ht="31.5">
      <c r="A304" s="23" t="s">
        <v>28</v>
      </c>
      <c r="B304" s="20" t="s">
        <v>211</v>
      </c>
      <c r="C304" s="20">
        <v>240</v>
      </c>
      <c r="D304" s="24">
        <v>43000</v>
      </c>
      <c r="E304" s="24">
        <v>0</v>
      </c>
      <c r="F304" s="21">
        <f t="shared" si="4"/>
        <v>43000</v>
      </c>
    </row>
    <row r="305" spans="1:6" s="22" customFormat="1" ht="15.75">
      <c r="A305" s="23" t="s">
        <v>29</v>
      </c>
      <c r="B305" s="20" t="s">
        <v>211</v>
      </c>
      <c r="C305" s="20">
        <v>300</v>
      </c>
      <c r="D305" s="24">
        <f>D306</f>
        <v>4257000</v>
      </c>
      <c r="E305" s="24">
        <f>E306</f>
        <v>0</v>
      </c>
      <c r="F305" s="21">
        <f t="shared" si="4"/>
        <v>4257000</v>
      </c>
    </row>
    <row r="306" spans="1:6" s="22" customFormat="1" ht="31.5">
      <c r="A306" s="23" t="s">
        <v>187</v>
      </c>
      <c r="B306" s="20" t="s">
        <v>211</v>
      </c>
      <c r="C306" s="20">
        <v>310</v>
      </c>
      <c r="D306" s="24">
        <v>4257000</v>
      </c>
      <c r="E306" s="24">
        <v>0</v>
      </c>
      <c r="F306" s="21">
        <f t="shared" si="4"/>
        <v>4257000</v>
      </c>
    </row>
    <row r="307" spans="1:6" s="14" customFormat="1" ht="15.75">
      <c r="A307" s="23" t="s">
        <v>212</v>
      </c>
      <c r="B307" s="20" t="s">
        <v>213</v>
      </c>
      <c r="C307" s="20"/>
      <c r="D307" s="24">
        <f>D310+D308</f>
        <v>330000</v>
      </c>
      <c r="E307" s="24">
        <f>E310+E308</f>
        <v>0</v>
      </c>
      <c r="F307" s="21">
        <f t="shared" si="4"/>
        <v>330000</v>
      </c>
    </row>
    <row r="308" spans="1:6" s="22" customFormat="1" ht="31.5">
      <c r="A308" s="26" t="s">
        <v>27</v>
      </c>
      <c r="B308" s="20" t="s">
        <v>213</v>
      </c>
      <c r="C308" s="20">
        <v>200</v>
      </c>
      <c r="D308" s="24">
        <f>D309</f>
        <v>4000</v>
      </c>
      <c r="E308" s="24">
        <f>E309</f>
        <v>0</v>
      </c>
      <c r="F308" s="21">
        <f t="shared" si="4"/>
        <v>4000</v>
      </c>
    </row>
    <row r="309" spans="1:6" s="22" customFormat="1" ht="31.5">
      <c r="A309" s="23" t="s">
        <v>28</v>
      </c>
      <c r="B309" s="20" t="s">
        <v>213</v>
      </c>
      <c r="C309" s="20">
        <v>240</v>
      </c>
      <c r="D309" s="24">
        <v>4000</v>
      </c>
      <c r="E309" s="24">
        <v>0</v>
      </c>
      <c r="F309" s="21">
        <f t="shared" si="4"/>
        <v>4000</v>
      </c>
    </row>
    <row r="310" spans="1:6" s="14" customFormat="1" ht="15.75">
      <c r="A310" s="23" t="s">
        <v>29</v>
      </c>
      <c r="B310" s="20" t="s">
        <v>213</v>
      </c>
      <c r="C310" s="20">
        <v>300</v>
      </c>
      <c r="D310" s="24">
        <f>D311</f>
        <v>326000</v>
      </c>
      <c r="E310" s="24">
        <f>E311</f>
        <v>0</v>
      </c>
      <c r="F310" s="21">
        <f t="shared" si="4"/>
        <v>326000</v>
      </c>
    </row>
    <row r="311" spans="1:6" s="22" customFormat="1" ht="31.5">
      <c r="A311" s="23" t="s">
        <v>187</v>
      </c>
      <c r="B311" s="20" t="s">
        <v>213</v>
      </c>
      <c r="C311" s="20">
        <v>310</v>
      </c>
      <c r="D311" s="24">
        <v>326000</v>
      </c>
      <c r="E311" s="24">
        <v>0</v>
      </c>
      <c r="F311" s="21">
        <f t="shared" si="4"/>
        <v>326000</v>
      </c>
    </row>
    <row r="312" spans="1:6" s="14" customFormat="1" ht="47.25">
      <c r="A312" s="23" t="s">
        <v>214</v>
      </c>
      <c r="B312" s="20" t="s">
        <v>215</v>
      </c>
      <c r="C312" s="20"/>
      <c r="D312" s="21">
        <f>D315+D313</f>
        <v>10500000</v>
      </c>
      <c r="E312" s="21">
        <f>E315+E313</f>
        <v>880000</v>
      </c>
      <c r="F312" s="21">
        <f t="shared" si="4"/>
        <v>11380000</v>
      </c>
    </row>
    <row r="313" spans="1:6" s="22" customFormat="1" ht="31.5">
      <c r="A313" s="26" t="s">
        <v>27</v>
      </c>
      <c r="B313" s="20" t="s">
        <v>215</v>
      </c>
      <c r="C313" s="20">
        <v>200</v>
      </c>
      <c r="D313" s="21">
        <f>D314</f>
        <v>104000</v>
      </c>
      <c r="E313" s="21">
        <f>E314</f>
        <v>6000</v>
      </c>
      <c r="F313" s="21">
        <f t="shared" si="4"/>
        <v>110000</v>
      </c>
    </row>
    <row r="314" spans="1:6" s="22" customFormat="1" ht="31.5">
      <c r="A314" s="26" t="s">
        <v>28</v>
      </c>
      <c r="B314" s="20" t="s">
        <v>215</v>
      </c>
      <c r="C314" s="20">
        <v>240</v>
      </c>
      <c r="D314" s="21">
        <v>104000</v>
      </c>
      <c r="E314" s="21">
        <v>6000</v>
      </c>
      <c r="F314" s="21">
        <f t="shared" si="4"/>
        <v>110000</v>
      </c>
    </row>
    <row r="315" spans="1:6" s="22" customFormat="1" ht="15.75">
      <c r="A315" s="23" t="s">
        <v>29</v>
      </c>
      <c r="B315" s="20" t="s">
        <v>215</v>
      </c>
      <c r="C315" s="20">
        <v>300</v>
      </c>
      <c r="D315" s="21">
        <f>D316</f>
        <v>10396000</v>
      </c>
      <c r="E315" s="21">
        <f>E316</f>
        <v>874000</v>
      </c>
      <c r="F315" s="21">
        <f t="shared" si="4"/>
        <v>11270000</v>
      </c>
    </row>
    <row r="316" spans="1:6" s="22" customFormat="1" ht="31.5">
      <c r="A316" s="23" t="s">
        <v>187</v>
      </c>
      <c r="B316" s="20" t="s">
        <v>215</v>
      </c>
      <c r="C316" s="20">
        <v>310</v>
      </c>
      <c r="D316" s="21">
        <v>10396000</v>
      </c>
      <c r="E316" s="21">
        <v>874000</v>
      </c>
      <c r="F316" s="21">
        <f t="shared" si="4"/>
        <v>11270000</v>
      </c>
    </row>
    <row r="317" spans="1:6" s="22" customFormat="1" ht="31.5">
      <c r="A317" s="23" t="s">
        <v>216</v>
      </c>
      <c r="B317" s="20" t="s">
        <v>217</v>
      </c>
      <c r="C317" s="20"/>
      <c r="D317" s="21">
        <f>D318</f>
        <v>1000000</v>
      </c>
      <c r="E317" s="21">
        <f>E318</f>
        <v>0</v>
      </c>
      <c r="F317" s="21">
        <f t="shared" si="4"/>
        <v>1000000</v>
      </c>
    </row>
    <row r="318" spans="1:6" s="22" customFormat="1" ht="31.5">
      <c r="A318" s="26" t="s">
        <v>27</v>
      </c>
      <c r="B318" s="20" t="s">
        <v>217</v>
      </c>
      <c r="C318" s="20">
        <v>200</v>
      </c>
      <c r="D318" s="21">
        <f>D319</f>
        <v>1000000</v>
      </c>
      <c r="E318" s="21">
        <f>E319</f>
        <v>0</v>
      </c>
      <c r="F318" s="21">
        <f t="shared" si="4"/>
        <v>1000000</v>
      </c>
    </row>
    <row r="319" spans="1:6" s="22" customFormat="1" ht="31.5">
      <c r="A319" s="26" t="s">
        <v>28</v>
      </c>
      <c r="B319" s="20" t="s">
        <v>217</v>
      </c>
      <c r="C319" s="20">
        <v>240</v>
      </c>
      <c r="D319" s="24">
        <v>1000000</v>
      </c>
      <c r="E319" s="24">
        <v>0</v>
      </c>
      <c r="F319" s="21">
        <f t="shared" si="4"/>
        <v>1000000</v>
      </c>
    </row>
    <row r="320" spans="1:6" s="22" customFormat="1" ht="47.25">
      <c r="A320" s="23" t="s">
        <v>218</v>
      </c>
      <c r="B320" s="20" t="s">
        <v>219</v>
      </c>
      <c r="C320" s="20"/>
      <c r="D320" s="24">
        <f>D321</f>
        <v>1959211</v>
      </c>
      <c r="E320" s="24">
        <f>E321</f>
        <v>0</v>
      </c>
      <c r="F320" s="21">
        <f t="shared" si="4"/>
        <v>1959211</v>
      </c>
    </row>
    <row r="321" spans="1:6" s="22" customFormat="1" ht="15.75">
      <c r="A321" s="23" t="s">
        <v>29</v>
      </c>
      <c r="B321" s="20" t="s">
        <v>219</v>
      </c>
      <c r="C321" s="20">
        <v>300</v>
      </c>
      <c r="D321" s="24">
        <f>D322</f>
        <v>1959211</v>
      </c>
      <c r="E321" s="24">
        <f>E322</f>
        <v>0</v>
      </c>
      <c r="F321" s="21">
        <f t="shared" si="4"/>
        <v>1959211</v>
      </c>
    </row>
    <row r="322" spans="1:6" s="14" customFormat="1" ht="31.5">
      <c r="A322" s="23" t="s">
        <v>187</v>
      </c>
      <c r="B322" s="20" t="s">
        <v>219</v>
      </c>
      <c r="C322" s="20">
        <v>310</v>
      </c>
      <c r="D322" s="24">
        <v>1959211</v>
      </c>
      <c r="E322" s="24">
        <v>0</v>
      </c>
      <c r="F322" s="21">
        <f t="shared" si="4"/>
        <v>1959211</v>
      </c>
    </row>
    <row r="323" spans="1:6" s="22" customFormat="1" ht="31.5">
      <c r="A323" s="23" t="s">
        <v>220</v>
      </c>
      <c r="B323" s="20" t="s">
        <v>221</v>
      </c>
      <c r="C323" s="20"/>
      <c r="D323" s="24">
        <f>D324</f>
        <v>185914711</v>
      </c>
      <c r="E323" s="24">
        <f>E324</f>
        <v>9478282</v>
      </c>
      <c r="F323" s="21">
        <f t="shared" si="4"/>
        <v>195392993</v>
      </c>
    </row>
    <row r="324" spans="1:6" s="22" customFormat="1" ht="15.75">
      <c r="A324" s="23" t="s">
        <v>29</v>
      </c>
      <c r="B324" s="20" t="s">
        <v>221</v>
      </c>
      <c r="C324" s="20">
        <v>300</v>
      </c>
      <c r="D324" s="24">
        <f>D325</f>
        <v>185914711</v>
      </c>
      <c r="E324" s="24">
        <f>E325</f>
        <v>9478282</v>
      </c>
      <c r="F324" s="21">
        <f t="shared" si="4"/>
        <v>195392993</v>
      </c>
    </row>
    <row r="325" spans="1:6" s="22" customFormat="1" ht="31.5">
      <c r="A325" s="23" t="s">
        <v>187</v>
      </c>
      <c r="B325" s="20" t="s">
        <v>221</v>
      </c>
      <c r="C325" s="20">
        <v>310</v>
      </c>
      <c r="D325" s="24">
        <v>185914711</v>
      </c>
      <c r="E325" s="24">
        <v>9478282</v>
      </c>
      <c r="F325" s="21">
        <f t="shared" si="4"/>
        <v>195392993</v>
      </c>
    </row>
    <row r="326" spans="1:6" s="22" customFormat="1" ht="47.25">
      <c r="A326" s="23" t="s">
        <v>222</v>
      </c>
      <c r="B326" s="20" t="s">
        <v>223</v>
      </c>
      <c r="C326" s="20"/>
      <c r="D326" s="24">
        <f>D329+D327</f>
        <v>33522669</v>
      </c>
      <c r="E326" s="24">
        <f>E329+E327</f>
        <v>5862557</v>
      </c>
      <c r="F326" s="21">
        <f t="shared" si="4"/>
        <v>39385226</v>
      </c>
    </row>
    <row r="327" spans="1:6" ht="31.5">
      <c r="A327" s="26" t="s">
        <v>27</v>
      </c>
      <c r="B327" s="20" t="s">
        <v>223</v>
      </c>
      <c r="C327" s="20">
        <v>200</v>
      </c>
      <c r="D327" s="24">
        <f>D328</f>
        <v>331908</v>
      </c>
      <c r="E327" s="24">
        <f>E328</f>
        <v>-331908</v>
      </c>
      <c r="F327" s="21">
        <f t="shared" si="4"/>
        <v>0</v>
      </c>
    </row>
    <row r="328" spans="1:6" ht="31.5">
      <c r="A328" s="23" t="s">
        <v>28</v>
      </c>
      <c r="B328" s="20" t="s">
        <v>223</v>
      </c>
      <c r="C328" s="20">
        <v>240</v>
      </c>
      <c r="D328" s="24">
        <v>331908</v>
      </c>
      <c r="E328" s="24">
        <v>-331908</v>
      </c>
      <c r="F328" s="21">
        <f aca="true" t="shared" si="5" ref="F328:F391">SUM(D328:E328)</f>
        <v>0</v>
      </c>
    </row>
    <row r="329" spans="1:6" ht="15.75">
      <c r="A329" s="23" t="s">
        <v>29</v>
      </c>
      <c r="B329" s="20" t="s">
        <v>223</v>
      </c>
      <c r="C329" s="20">
        <v>300</v>
      </c>
      <c r="D329" s="24">
        <f>D330</f>
        <v>33190761</v>
      </c>
      <c r="E329" s="24">
        <f>E330</f>
        <v>6194465</v>
      </c>
      <c r="F329" s="21">
        <f t="shared" si="5"/>
        <v>39385226</v>
      </c>
    </row>
    <row r="330" spans="1:6" ht="31.5">
      <c r="A330" s="23" t="s">
        <v>187</v>
      </c>
      <c r="B330" s="20" t="s">
        <v>223</v>
      </c>
      <c r="C330" s="20">
        <v>310</v>
      </c>
      <c r="D330" s="24">
        <v>33190761</v>
      </c>
      <c r="E330" s="24">
        <f>331908+5862557</f>
        <v>6194465</v>
      </c>
      <c r="F330" s="21">
        <f t="shared" si="5"/>
        <v>39385226</v>
      </c>
    </row>
    <row r="331" spans="1:6" s="22" customFormat="1" ht="63">
      <c r="A331" s="23" t="s">
        <v>224</v>
      </c>
      <c r="B331" s="20" t="s">
        <v>225</v>
      </c>
      <c r="C331" s="20"/>
      <c r="D331" s="24">
        <f>D332+D334</f>
        <v>53642763</v>
      </c>
      <c r="E331" s="24">
        <f>E332+E334</f>
        <v>1452000</v>
      </c>
      <c r="F331" s="21">
        <f t="shared" si="5"/>
        <v>55094763</v>
      </c>
    </row>
    <row r="332" spans="1:6" s="22" customFormat="1" ht="31.5">
      <c r="A332" s="26" t="s">
        <v>27</v>
      </c>
      <c r="B332" s="20" t="s">
        <v>225</v>
      </c>
      <c r="C332" s="20">
        <v>200</v>
      </c>
      <c r="D332" s="24">
        <f>D333</f>
        <v>438139</v>
      </c>
      <c r="E332" s="24">
        <f>E333</f>
        <v>40000</v>
      </c>
      <c r="F332" s="21">
        <f t="shared" si="5"/>
        <v>478139</v>
      </c>
    </row>
    <row r="333" spans="1:6" s="22" customFormat="1" ht="31.5">
      <c r="A333" s="23" t="s">
        <v>28</v>
      </c>
      <c r="B333" s="20" t="s">
        <v>225</v>
      </c>
      <c r="C333" s="20">
        <v>240</v>
      </c>
      <c r="D333" s="24">
        <v>438139</v>
      </c>
      <c r="E333" s="24">
        <v>40000</v>
      </c>
      <c r="F333" s="21">
        <f t="shared" si="5"/>
        <v>478139</v>
      </c>
    </row>
    <row r="334" spans="1:7" s="14" customFormat="1" ht="15.75">
      <c r="A334" s="23" t="s">
        <v>29</v>
      </c>
      <c r="B334" s="20" t="s">
        <v>225</v>
      </c>
      <c r="C334" s="20">
        <v>300</v>
      </c>
      <c r="D334" s="24">
        <f>D335</f>
        <v>53204624</v>
      </c>
      <c r="E334" s="24">
        <f>E335</f>
        <v>1412000</v>
      </c>
      <c r="F334" s="21">
        <f t="shared" si="5"/>
        <v>54616624</v>
      </c>
      <c r="G334" s="22"/>
    </row>
    <row r="335" spans="1:7" s="14" customFormat="1" ht="31.5">
      <c r="A335" s="23" t="s">
        <v>187</v>
      </c>
      <c r="B335" s="20" t="s">
        <v>225</v>
      </c>
      <c r="C335" s="20">
        <v>310</v>
      </c>
      <c r="D335" s="24">
        <v>53204624</v>
      </c>
      <c r="E335" s="24">
        <v>1412000</v>
      </c>
      <c r="F335" s="21">
        <f t="shared" si="5"/>
        <v>54616624</v>
      </c>
      <c r="G335" s="22"/>
    </row>
    <row r="336" spans="1:6" s="22" customFormat="1" ht="94.5">
      <c r="A336" s="23" t="s">
        <v>226</v>
      </c>
      <c r="B336" s="20" t="s">
        <v>227</v>
      </c>
      <c r="C336" s="20"/>
      <c r="D336" s="24">
        <f>D337</f>
        <v>91236070</v>
      </c>
      <c r="E336" s="24">
        <f>E337</f>
        <v>15850000</v>
      </c>
      <c r="F336" s="21">
        <f t="shared" si="5"/>
        <v>107086070</v>
      </c>
    </row>
    <row r="337" spans="1:6" s="14" customFormat="1" ht="15.75">
      <c r="A337" s="23" t="s">
        <v>29</v>
      </c>
      <c r="B337" s="20" t="s">
        <v>227</v>
      </c>
      <c r="C337" s="20">
        <v>300</v>
      </c>
      <c r="D337" s="24">
        <f>D338</f>
        <v>91236070</v>
      </c>
      <c r="E337" s="24">
        <f>E338</f>
        <v>15850000</v>
      </c>
      <c r="F337" s="21">
        <f t="shared" si="5"/>
        <v>107086070</v>
      </c>
    </row>
    <row r="338" spans="1:6" s="14" customFormat="1" ht="31.5">
      <c r="A338" s="23" t="s">
        <v>187</v>
      </c>
      <c r="B338" s="20" t="s">
        <v>227</v>
      </c>
      <c r="C338" s="20">
        <v>310</v>
      </c>
      <c r="D338" s="24">
        <v>91236070</v>
      </c>
      <c r="E338" s="24">
        <v>15850000</v>
      </c>
      <c r="F338" s="21">
        <f t="shared" si="5"/>
        <v>107086070</v>
      </c>
    </row>
    <row r="339" spans="1:6" s="14" customFormat="1" ht="110.25">
      <c r="A339" s="23" t="s">
        <v>228</v>
      </c>
      <c r="B339" s="20" t="s">
        <v>229</v>
      </c>
      <c r="C339" s="20"/>
      <c r="D339" s="24">
        <f>D340</f>
        <v>0</v>
      </c>
      <c r="E339" s="24">
        <f>E340</f>
        <v>7459240</v>
      </c>
      <c r="F339" s="21">
        <f t="shared" si="5"/>
        <v>7459240</v>
      </c>
    </row>
    <row r="340" spans="1:6" s="14" customFormat="1" ht="15.75">
      <c r="A340" s="23" t="s">
        <v>29</v>
      </c>
      <c r="B340" s="20" t="s">
        <v>229</v>
      </c>
      <c r="C340" s="20">
        <v>300</v>
      </c>
      <c r="D340" s="24">
        <f>D341</f>
        <v>0</v>
      </c>
      <c r="E340" s="24">
        <f>E341</f>
        <v>7459240</v>
      </c>
      <c r="F340" s="21">
        <f t="shared" si="5"/>
        <v>7459240</v>
      </c>
    </row>
    <row r="341" spans="1:6" s="14" customFormat="1" ht="31.5">
      <c r="A341" s="23" t="s">
        <v>187</v>
      </c>
      <c r="B341" s="20" t="s">
        <v>229</v>
      </c>
      <c r="C341" s="20">
        <v>310</v>
      </c>
      <c r="D341" s="24">
        <v>0</v>
      </c>
      <c r="E341" s="24">
        <v>7459240</v>
      </c>
      <c r="F341" s="21">
        <f t="shared" si="5"/>
        <v>7459240</v>
      </c>
    </row>
    <row r="342" spans="1:6" s="14" customFormat="1" ht="63">
      <c r="A342" s="23" t="s">
        <v>230</v>
      </c>
      <c r="B342" s="20" t="s">
        <v>231</v>
      </c>
      <c r="C342" s="20"/>
      <c r="D342" s="24">
        <f>D343</f>
        <v>79527661</v>
      </c>
      <c r="E342" s="24">
        <f>E343</f>
        <v>0</v>
      </c>
      <c r="F342" s="21">
        <f t="shared" si="5"/>
        <v>79527661</v>
      </c>
    </row>
    <row r="343" spans="1:6" s="14" customFormat="1" ht="15.75">
      <c r="A343" s="23" t="s">
        <v>29</v>
      </c>
      <c r="B343" s="20" t="s">
        <v>231</v>
      </c>
      <c r="C343" s="20">
        <v>300</v>
      </c>
      <c r="D343" s="24">
        <f>D344</f>
        <v>79527661</v>
      </c>
      <c r="E343" s="24">
        <f>E344</f>
        <v>0</v>
      </c>
      <c r="F343" s="21">
        <f t="shared" si="5"/>
        <v>79527661</v>
      </c>
    </row>
    <row r="344" spans="1:6" s="14" customFormat="1" ht="31.5">
      <c r="A344" s="23" t="s">
        <v>187</v>
      </c>
      <c r="B344" s="20" t="s">
        <v>231</v>
      </c>
      <c r="C344" s="20">
        <v>310</v>
      </c>
      <c r="D344" s="24">
        <v>79527661</v>
      </c>
      <c r="E344" s="24">
        <v>0</v>
      </c>
      <c r="F344" s="21">
        <f t="shared" si="5"/>
        <v>79527661</v>
      </c>
    </row>
    <row r="345" spans="1:6" s="14" customFormat="1" ht="110.25">
      <c r="A345" s="23" t="s">
        <v>232</v>
      </c>
      <c r="B345" s="20" t="s">
        <v>233</v>
      </c>
      <c r="C345" s="20"/>
      <c r="D345" s="24">
        <f>D346</f>
        <v>2060302</v>
      </c>
      <c r="E345" s="24">
        <f>E346</f>
        <v>3600000</v>
      </c>
      <c r="F345" s="21">
        <f t="shared" si="5"/>
        <v>5660302</v>
      </c>
    </row>
    <row r="346" spans="1:6" s="14" customFormat="1" ht="15.75">
      <c r="A346" s="23" t="s">
        <v>29</v>
      </c>
      <c r="B346" s="20" t="s">
        <v>233</v>
      </c>
      <c r="C346" s="20">
        <v>300</v>
      </c>
      <c r="D346" s="24">
        <f>D347</f>
        <v>2060302</v>
      </c>
      <c r="E346" s="24">
        <f>E347</f>
        <v>3600000</v>
      </c>
      <c r="F346" s="21">
        <f t="shared" si="5"/>
        <v>5660302</v>
      </c>
    </row>
    <row r="347" spans="1:6" s="14" customFormat="1" ht="31.5">
      <c r="A347" s="23" t="s">
        <v>187</v>
      </c>
      <c r="B347" s="20" t="s">
        <v>233</v>
      </c>
      <c r="C347" s="20">
        <v>310</v>
      </c>
      <c r="D347" s="24">
        <v>2060302</v>
      </c>
      <c r="E347" s="24">
        <f>3800000-200000</f>
        <v>3600000</v>
      </c>
      <c r="F347" s="21">
        <f t="shared" si="5"/>
        <v>5660302</v>
      </c>
    </row>
    <row r="348" spans="1:6" s="14" customFormat="1" ht="15.75">
      <c r="A348" s="36" t="s">
        <v>234</v>
      </c>
      <c r="B348" s="20" t="s">
        <v>235</v>
      </c>
      <c r="C348" s="20"/>
      <c r="D348" s="21">
        <f>D349+D356+D359+D362+D365</f>
        <v>6370000</v>
      </c>
      <c r="E348" s="21">
        <f>E349+E356+E359+E362+E365</f>
        <v>-57796</v>
      </c>
      <c r="F348" s="21">
        <f t="shared" si="5"/>
        <v>6312204</v>
      </c>
    </row>
    <row r="349" spans="1:6" s="14" customFormat="1" ht="78.75">
      <c r="A349" s="23" t="s">
        <v>236</v>
      </c>
      <c r="B349" s="20" t="s">
        <v>237</v>
      </c>
      <c r="C349" s="20"/>
      <c r="D349" s="21">
        <f>SUM(D350,D354,D352)</f>
        <v>3050000</v>
      </c>
      <c r="E349" s="21">
        <f>SUM(E350,E354,E352)</f>
        <v>58500</v>
      </c>
      <c r="F349" s="21">
        <f t="shared" si="5"/>
        <v>3108500</v>
      </c>
    </row>
    <row r="350" spans="1:6" s="22" customFormat="1" ht="31.5">
      <c r="A350" s="26" t="s">
        <v>27</v>
      </c>
      <c r="B350" s="20" t="s">
        <v>237</v>
      </c>
      <c r="C350" s="20">
        <v>200</v>
      </c>
      <c r="D350" s="24">
        <f>D351</f>
        <v>600000</v>
      </c>
      <c r="E350" s="24">
        <f>E351</f>
        <v>-600000</v>
      </c>
      <c r="F350" s="21">
        <f t="shared" si="5"/>
        <v>0</v>
      </c>
    </row>
    <row r="351" spans="1:6" s="14" customFormat="1" ht="31.5">
      <c r="A351" s="26" t="s">
        <v>28</v>
      </c>
      <c r="B351" s="20" t="s">
        <v>237</v>
      </c>
      <c r="C351" s="20">
        <v>240</v>
      </c>
      <c r="D351" s="24">
        <v>600000</v>
      </c>
      <c r="E351" s="24">
        <v>-600000</v>
      </c>
      <c r="F351" s="21">
        <f t="shared" si="5"/>
        <v>0</v>
      </c>
    </row>
    <row r="352" spans="1:6" s="14" customFormat="1" ht="31.5">
      <c r="A352" s="23" t="s">
        <v>123</v>
      </c>
      <c r="B352" s="20" t="s">
        <v>237</v>
      </c>
      <c r="C352" s="20">
        <v>400</v>
      </c>
      <c r="D352" s="21">
        <f>D353</f>
        <v>2000000</v>
      </c>
      <c r="E352" s="21">
        <f>E353</f>
        <v>658500</v>
      </c>
      <c r="F352" s="21">
        <f t="shared" si="5"/>
        <v>2658500</v>
      </c>
    </row>
    <row r="353" spans="1:6" s="22" customFormat="1" ht="15.75">
      <c r="A353" s="23" t="s">
        <v>124</v>
      </c>
      <c r="B353" s="20" t="s">
        <v>237</v>
      </c>
      <c r="C353" s="20">
        <v>410</v>
      </c>
      <c r="D353" s="21">
        <v>2000000</v>
      </c>
      <c r="E353" s="21">
        <f>720000-500000+438500</f>
        <v>658500</v>
      </c>
      <c r="F353" s="21">
        <f t="shared" si="5"/>
        <v>2658500</v>
      </c>
    </row>
    <row r="354" spans="1:6" s="22" customFormat="1" ht="31.5">
      <c r="A354" s="23" t="s">
        <v>14</v>
      </c>
      <c r="B354" s="20" t="s">
        <v>237</v>
      </c>
      <c r="C354" s="20">
        <v>600</v>
      </c>
      <c r="D354" s="21">
        <f>SUM(D355:D355)</f>
        <v>450000</v>
      </c>
      <c r="E354" s="21">
        <f>SUM(E355:E355)</f>
        <v>0</v>
      </c>
      <c r="F354" s="21">
        <f t="shared" si="5"/>
        <v>450000</v>
      </c>
    </row>
    <row r="355" spans="1:6" s="22" customFormat="1" ht="15.75">
      <c r="A355" s="23" t="s">
        <v>15</v>
      </c>
      <c r="B355" s="20" t="s">
        <v>237</v>
      </c>
      <c r="C355" s="20">
        <v>610</v>
      </c>
      <c r="D355" s="21">
        <v>450000</v>
      </c>
      <c r="E355" s="21">
        <v>0</v>
      </c>
      <c r="F355" s="21">
        <f t="shared" si="5"/>
        <v>450000</v>
      </c>
    </row>
    <row r="356" spans="1:6" s="14" customFormat="1" ht="31.5">
      <c r="A356" s="19" t="s">
        <v>238</v>
      </c>
      <c r="B356" s="20" t="s">
        <v>239</v>
      </c>
      <c r="C356" s="20"/>
      <c r="D356" s="24">
        <f>D357</f>
        <v>1850000</v>
      </c>
      <c r="E356" s="24">
        <f>E357</f>
        <v>0</v>
      </c>
      <c r="F356" s="21">
        <f t="shared" si="5"/>
        <v>1850000</v>
      </c>
    </row>
    <row r="357" spans="1:6" s="14" customFormat="1" ht="31.5">
      <c r="A357" s="26" t="s">
        <v>27</v>
      </c>
      <c r="B357" s="20" t="s">
        <v>239</v>
      </c>
      <c r="C357" s="20">
        <v>200</v>
      </c>
      <c r="D357" s="24">
        <f>D358</f>
        <v>1850000</v>
      </c>
      <c r="E357" s="24">
        <f>E358</f>
        <v>0</v>
      </c>
      <c r="F357" s="21">
        <f t="shared" si="5"/>
        <v>1850000</v>
      </c>
    </row>
    <row r="358" spans="1:6" s="22" customFormat="1" ht="31.5">
      <c r="A358" s="26" t="s">
        <v>28</v>
      </c>
      <c r="B358" s="20" t="s">
        <v>239</v>
      </c>
      <c r="C358" s="20">
        <v>240</v>
      </c>
      <c r="D358" s="24">
        <v>1850000</v>
      </c>
      <c r="E358" s="24">
        <v>0</v>
      </c>
      <c r="F358" s="21">
        <f t="shared" si="5"/>
        <v>1850000</v>
      </c>
    </row>
    <row r="359" spans="1:6" s="14" customFormat="1" ht="31.5">
      <c r="A359" s="23" t="s">
        <v>240</v>
      </c>
      <c r="B359" s="20" t="s">
        <v>241</v>
      </c>
      <c r="C359" s="20"/>
      <c r="D359" s="24">
        <f>D360</f>
        <v>1200000</v>
      </c>
      <c r="E359" s="24">
        <f>E360</f>
        <v>0</v>
      </c>
      <c r="F359" s="21">
        <f t="shared" si="5"/>
        <v>1200000</v>
      </c>
    </row>
    <row r="360" spans="1:6" s="14" customFormat="1" ht="31.5">
      <c r="A360" s="26" t="s">
        <v>27</v>
      </c>
      <c r="B360" s="20" t="s">
        <v>241</v>
      </c>
      <c r="C360" s="20">
        <v>200</v>
      </c>
      <c r="D360" s="24">
        <f>D361</f>
        <v>1200000</v>
      </c>
      <c r="E360" s="24">
        <f>E361</f>
        <v>0</v>
      </c>
      <c r="F360" s="21">
        <f t="shared" si="5"/>
        <v>1200000</v>
      </c>
    </row>
    <row r="361" spans="1:6" s="22" customFormat="1" ht="31.5">
      <c r="A361" s="26" t="s">
        <v>28</v>
      </c>
      <c r="B361" s="20" t="s">
        <v>241</v>
      </c>
      <c r="C361" s="20">
        <v>240</v>
      </c>
      <c r="D361" s="24">
        <v>1200000</v>
      </c>
      <c r="E361" s="24">
        <v>0</v>
      </c>
      <c r="F361" s="21">
        <f t="shared" si="5"/>
        <v>1200000</v>
      </c>
    </row>
    <row r="362" spans="1:6" ht="31.5">
      <c r="A362" s="23" t="s">
        <v>242</v>
      </c>
      <c r="B362" s="20" t="s">
        <v>243</v>
      </c>
      <c r="C362" s="20"/>
      <c r="D362" s="24">
        <f>D363</f>
        <v>120000</v>
      </c>
      <c r="E362" s="24">
        <f>E363</f>
        <v>-120000</v>
      </c>
      <c r="F362" s="21">
        <f t="shared" si="5"/>
        <v>0</v>
      </c>
    </row>
    <row r="363" spans="1:6" ht="31.5">
      <c r="A363" s="26" t="s">
        <v>27</v>
      </c>
      <c r="B363" s="20" t="s">
        <v>243</v>
      </c>
      <c r="C363" s="20">
        <v>200</v>
      </c>
      <c r="D363" s="24">
        <f>D364</f>
        <v>120000</v>
      </c>
      <c r="E363" s="24">
        <f>E364</f>
        <v>-120000</v>
      </c>
      <c r="F363" s="21">
        <f t="shared" si="5"/>
        <v>0</v>
      </c>
    </row>
    <row r="364" spans="1:6" s="37" customFormat="1" ht="31.5">
      <c r="A364" s="26" t="s">
        <v>28</v>
      </c>
      <c r="B364" s="20" t="s">
        <v>243</v>
      </c>
      <c r="C364" s="20">
        <v>240</v>
      </c>
      <c r="D364" s="24">
        <v>120000</v>
      </c>
      <c r="E364" s="24">
        <v>-120000</v>
      </c>
      <c r="F364" s="21">
        <f t="shared" si="5"/>
        <v>0</v>
      </c>
    </row>
    <row r="365" spans="1:6" s="37" customFormat="1" ht="31.5">
      <c r="A365" s="23" t="s">
        <v>244</v>
      </c>
      <c r="B365" s="20" t="s">
        <v>245</v>
      </c>
      <c r="C365" s="20"/>
      <c r="D365" s="21">
        <f>D366</f>
        <v>150000</v>
      </c>
      <c r="E365" s="21">
        <f>E366</f>
        <v>3704</v>
      </c>
      <c r="F365" s="21">
        <f t="shared" si="5"/>
        <v>153704</v>
      </c>
    </row>
    <row r="366" spans="1:6" ht="31.5">
      <c r="A366" s="23" t="s">
        <v>14</v>
      </c>
      <c r="B366" s="20" t="s">
        <v>245</v>
      </c>
      <c r="C366" s="20">
        <v>600</v>
      </c>
      <c r="D366" s="21">
        <f>D367</f>
        <v>150000</v>
      </c>
      <c r="E366" s="21">
        <f>E367</f>
        <v>3704</v>
      </c>
      <c r="F366" s="21">
        <f t="shared" si="5"/>
        <v>153704</v>
      </c>
    </row>
    <row r="367" spans="1:6" s="37" customFormat="1" ht="15.75">
      <c r="A367" s="23" t="s">
        <v>15</v>
      </c>
      <c r="B367" s="20" t="s">
        <v>245</v>
      </c>
      <c r="C367" s="20">
        <v>610</v>
      </c>
      <c r="D367" s="21">
        <v>150000</v>
      </c>
      <c r="E367" s="21">
        <v>3704</v>
      </c>
      <c r="F367" s="21">
        <f t="shared" si="5"/>
        <v>153704</v>
      </c>
    </row>
    <row r="368" spans="1:6" s="37" customFormat="1" ht="15.75">
      <c r="A368" s="23" t="s">
        <v>246</v>
      </c>
      <c r="B368" s="20" t="s">
        <v>247</v>
      </c>
      <c r="C368" s="20"/>
      <c r="D368" s="24">
        <f>D369</f>
        <v>10000000</v>
      </c>
      <c r="E368" s="24">
        <f>E369</f>
        <v>0</v>
      </c>
      <c r="F368" s="21">
        <f t="shared" si="5"/>
        <v>10000000</v>
      </c>
    </row>
    <row r="369" spans="1:6" s="37" customFormat="1" ht="31.5">
      <c r="A369" s="23" t="s">
        <v>248</v>
      </c>
      <c r="B369" s="20" t="s">
        <v>249</v>
      </c>
      <c r="C369" s="20"/>
      <c r="D369" s="24">
        <f>D372+D370</f>
        <v>10000000</v>
      </c>
      <c r="E369" s="24">
        <f>E372+E370</f>
        <v>0</v>
      </c>
      <c r="F369" s="21">
        <f t="shared" si="5"/>
        <v>10000000</v>
      </c>
    </row>
    <row r="370" spans="1:6" s="37" customFormat="1" ht="31.5">
      <c r="A370" s="26" t="s">
        <v>27</v>
      </c>
      <c r="B370" s="20" t="s">
        <v>249</v>
      </c>
      <c r="C370" s="20">
        <v>200</v>
      </c>
      <c r="D370" s="24">
        <f>D371</f>
        <v>99010</v>
      </c>
      <c r="E370" s="24">
        <f>E371</f>
        <v>0</v>
      </c>
      <c r="F370" s="21">
        <f t="shared" si="5"/>
        <v>99010</v>
      </c>
    </row>
    <row r="371" spans="1:6" s="37" customFormat="1" ht="31.5">
      <c r="A371" s="26" t="s">
        <v>28</v>
      </c>
      <c r="B371" s="20" t="s">
        <v>249</v>
      </c>
      <c r="C371" s="20">
        <v>240</v>
      </c>
      <c r="D371" s="24">
        <v>99010</v>
      </c>
      <c r="E371" s="24">
        <v>0</v>
      </c>
      <c r="F371" s="21">
        <f t="shared" si="5"/>
        <v>99010</v>
      </c>
    </row>
    <row r="372" spans="1:6" ht="15.75">
      <c r="A372" s="23" t="s">
        <v>29</v>
      </c>
      <c r="B372" s="20" t="s">
        <v>249</v>
      </c>
      <c r="C372" s="20">
        <v>300</v>
      </c>
      <c r="D372" s="24">
        <f>D373</f>
        <v>9900990</v>
      </c>
      <c r="E372" s="24">
        <f>E373</f>
        <v>0</v>
      </c>
      <c r="F372" s="21">
        <f t="shared" si="5"/>
        <v>9900990</v>
      </c>
    </row>
    <row r="373" spans="1:6" ht="31.5">
      <c r="A373" s="23" t="s">
        <v>30</v>
      </c>
      <c r="B373" s="20" t="s">
        <v>249</v>
      </c>
      <c r="C373" s="20">
        <v>320</v>
      </c>
      <c r="D373" s="24">
        <v>9900990</v>
      </c>
      <c r="E373" s="24">
        <v>0</v>
      </c>
      <c r="F373" s="21">
        <f t="shared" si="5"/>
        <v>9900990</v>
      </c>
    </row>
    <row r="374" spans="1:6" ht="15.75">
      <c r="A374" s="23" t="s">
        <v>250</v>
      </c>
      <c r="B374" s="20" t="s">
        <v>251</v>
      </c>
      <c r="C374" s="20"/>
      <c r="D374" s="24">
        <f aca="true" t="shared" si="6" ref="D374:E376">D375</f>
        <v>16295145.48</v>
      </c>
      <c r="E374" s="24">
        <f t="shared" si="6"/>
        <v>-1533300.48</v>
      </c>
      <c r="F374" s="21">
        <f t="shared" si="5"/>
        <v>14761845</v>
      </c>
    </row>
    <row r="375" spans="1:6" s="37" customFormat="1" ht="31.5">
      <c r="A375" s="23" t="s">
        <v>252</v>
      </c>
      <c r="B375" s="20" t="s">
        <v>253</v>
      </c>
      <c r="C375" s="20"/>
      <c r="D375" s="24">
        <f t="shared" si="6"/>
        <v>16295145.48</v>
      </c>
      <c r="E375" s="24">
        <f t="shared" si="6"/>
        <v>-1533300.48</v>
      </c>
      <c r="F375" s="21">
        <f t="shared" si="5"/>
        <v>14761845</v>
      </c>
    </row>
    <row r="376" spans="1:6" s="37" customFormat="1" ht="15.75">
      <c r="A376" s="23" t="s">
        <v>29</v>
      </c>
      <c r="B376" s="20" t="s">
        <v>253</v>
      </c>
      <c r="C376" s="20">
        <v>300</v>
      </c>
      <c r="D376" s="24">
        <f t="shared" si="6"/>
        <v>16295145.48</v>
      </c>
      <c r="E376" s="24">
        <f t="shared" si="6"/>
        <v>-1533300.48</v>
      </c>
      <c r="F376" s="21">
        <f t="shared" si="5"/>
        <v>14761845</v>
      </c>
    </row>
    <row r="377" spans="1:6" ht="31.5">
      <c r="A377" s="23" t="s">
        <v>30</v>
      </c>
      <c r="B377" s="20" t="s">
        <v>253</v>
      </c>
      <c r="C377" s="20">
        <v>320</v>
      </c>
      <c r="D377" s="24">
        <f>4000000+12295145.48</f>
        <v>16295145.48</v>
      </c>
      <c r="E377" s="24">
        <f>-780906.38-752394.1</f>
        <v>-1533300.48</v>
      </c>
      <c r="F377" s="21">
        <f t="shared" si="5"/>
        <v>14761845</v>
      </c>
    </row>
    <row r="378" spans="1:6" ht="47.25">
      <c r="A378" s="23" t="s">
        <v>254</v>
      </c>
      <c r="B378" s="20" t="s">
        <v>255</v>
      </c>
      <c r="C378" s="20"/>
      <c r="D378" s="24">
        <f>SUM(D379,D386)</f>
        <v>34806512</v>
      </c>
      <c r="E378" s="24">
        <f>SUM(E379,E386)</f>
        <v>4384315.1</v>
      </c>
      <c r="F378" s="21">
        <f t="shared" si="5"/>
        <v>39190827.1</v>
      </c>
    </row>
    <row r="379" spans="1:6" s="37" customFormat="1" ht="31.5">
      <c r="A379" s="23" t="s">
        <v>256</v>
      </c>
      <c r="B379" s="20" t="s">
        <v>257</v>
      </c>
      <c r="C379" s="20"/>
      <c r="D379" s="24">
        <f>D380+D382+D384</f>
        <v>21506512</v>
      </c>
      <c r="E379" s="24">
        <f>E380+E382+E384</f>
        <v>1131921</v>
      </c>
      <c r="F379" s="21">
        <f t="shared" si="5"/>
        <v>22638433</v>
      </c>
    </row>
    <row r="380" spans="1:6" s="37" customFormat="1" ht="78.75">
      <c r="A380" s="29" t="s">
        <v>80</v>
      </c>
      <c r="B380" s="20" t="s">
        <v>257</v>
      </c>
      <c r="C380" s="30" t="s">
        <v>81</v>
      </c>
      <c r="D380" s="24">
        <f>D381</f>
        <v>19382524</v>
      </c>
      <c r="E380" s="24">
        <f>E381</f>
        <v>179288</v>
      </c>
      <c r="F380" s="21">
        <f t="shared" si="5"/>
        <v>19561812</v>
      </c>
    </row>
    <row r="381" spans="1:6" s="37" customFormat="1" ht="31.5">
      <c r="A381" s="29" t="s">
        <v>82</v>
      </c>
      <c r="B381" s="20" t="s">
        <v>257</v>
      </c>
      <c r="C381" s="30" t="s">
        <v>83</v>
      </c>
      <c r="D381" s="24">
        <v>19382524</v>
      </c>
      <c r="E381" s="24">
        <v>179288</v>
      </c>
      <c r="F381" s="21">
        <f t="shared" si="5"/>
        <v>19561812</v>
      </c>
    </row>
    <row r="382" spans="1:6" s="37" customFormat="1" ht="31.5">
      <c r="A382" s="26" t="s">
        <v>27</v>
      </c>
      <c r="B382" s="20" t="s">
        <v>257</v>
      </c>
      <c r="C382" s="30" t="s">
        <v>84</v>
      </c>
      <c r="D382" s="24">
        <f>D383</f>
        <v>2121988</v>
      </c>
      <c r="E382" s="24">
        <f>E383</f>
        <v>950133</v>
      </c>
      <c r="F382" s="21">
        <f t="shared" si="5"/>
        <v>3072121</v>
      </c>
    </row>
    <row r="383" spans="1:6" s="37" customFormat="1" ht="31.5">
      <c r="A383" s="26" t="s">
        <v>28</v>
      </c>
      <c r="B383" s="20" t="s">
        <v>257</v>
      </c>
      <c r="C383" s="30" t="s">
        <v>85</v>
      </c>
      <c r="D383" s="24">
        <v>2121988</v>
      </c>
      <c r="E383" s="24">
        <f>952633-2500</f>
        <v>950133</v>
      </c>
      <c r="F383" s="21">
        <f t="shared" si="5"/>
        <v>3072121</v>
      </c>
    </row>
    <row r="384" spans="1:6" ht="15.75">
      <c r="A384" s="26" t="s">
        <v>17</v>
      </c>
      <c r="B384" s="20" t="s">
        <v>257</v>
      </c>
      <c r="C384" s="30" t="s">
        <v>86</v>
      </c>
      <c r="D384" s="24">
        <f>D385</f>
        <v>2000</v>
      </c>
      <c r="E384" s="24">
        <f>E385</f>
        <v>2500</v>
      </c>
      <c r="F384" s="21">
        <f t="shared" si="5"/>
        <v>4500</v>
      </c>
    </row>
    <row r="385" spans="1:6" ht="15.75">
      <c r="A385" s="26" t="s">
        <v>87</v>
      </c>
      <c r="B385" s="20" t="s">
        <v>257</v>
      </c>
      <c r="C385" s="30" t="s">
        <v>88</v>
      </c>
      <c r="D385" s="24">
        <v>2000</v>
      </c>
      <c r="E385" s="24">
        <v>2500</v>
      </c>
      <c r="F385" s="21">
        <f t="shared" si="5"/>
        <v>4500</v>
      </c>
    </row>
    <row r="386" spans="1:6" ht="47.25">
      <c r="A386" s="23" t="s">
        <v>258</v>
      </c>
      <c r="B386" s="20" t="s">
        <v>259</v>
      </c>
      <c r="C386" s="20"/>
      <c r="D386" s="24">
        <f>D387+D389</f>
        <v>13300000</v>
      </c>
      <c r="E386" s="24">
        <f>E387+E389</f>
        <v>3252394.1</v>
      </c>
      <c r="F386" s="21">
        <f t="shared" si="5"/>
        <v>16552394.1</v>
      </c>
    </row>
    <row r="387" spans="1:6" ht="78.75">
      <c r="A387" s="29" t="s">
        <v>80</v>
      </c>
      <c r="B387" s="20" t="s">
        <v>259</v>
      </c>
      <c r="C387" s="30" t="s">
        <v>81</v>
      </c>
      <c r="D387" s="24">
        <f>D388</f>
        <v>12000000</v>
      </c>
      <c r="E387" s="24">
        <f>E388</f>
        <v>3252394.1</v>
      </c>
      <c r="F387" s="21">
        <f t="shared" si="5"/>
        <v>15252394.1</v>
      </c>
    </row>
    <row r="388" spans="1:6" ht="31.5">
      <c r="A388" s="29" t="s">
        <v>82</v>
      </c>
      <c r="B388" s="20" t="s">
        <v>259</v>
      </c>
      <c r="C388" s="30" t="s">
        <v>83</v>
      </c>
      <c r="D388" s="24">
        <v>12000000</v>
      </c>
      <c r="E388" s="35">
        <f>752394.1+1000000+1500000</f>
        <v>3252394.1</v>
      </c>
      <c r="F388" s="21">
        <f t="shared" si="5"/>
        <v>15252394.1</v>
      </c>
    </row>
    <row r="389" spans="1:6" ht="31.5">
      <c r="A389" s="26" t="s">
        <v>27</v>
      </c>
      <c r="B389" s="20" t="s">
        <v>259</v>
      </c>
      <c r="C389" s="30" t="s">
        <v>84</v>
      </c>
      <c r="D389" s="24">
        <f>D390</f>
        <v>1300000</v>
      </c>
      <c r="E389" s="24">
        <f>E390</f>
        <v>0</v>
      </c>
      <c r="F389" s="21">
        <f t="shared" si="5"/>
        <v>1300000</v>
      </c>
    </row>
    <row r="390" spans="1:6" ht="31.5">
      <c r="A390" s="26" t="s">
        <v>28</v>
      </c>
      <c r="B390" s="20" t="s">
        <v>259</v>
      </c>
      <c r="C390" s="30" t="s">
        <v>85</v>
      </c>
      <c r="D390" s="24">
        <v>1300000</v>
      </c>
      <c r="E390" s="24">
        <v>0</v>
      </c>
      <c r="F390" s="21">
        <f t="shared" si="5"/>
        <v>1300000</v>
      </c>
    </row>
    <row r="391" spans="1:6" ht="31.5">
      <c r="A391" s="15" t="s">
        <v>260</v>
      </c>
      <c r="B391" s="16" t="s">
        <v>261</v>
      </c>
      <c r="C391" s="16"/>
      <c r="D391" s="17">
        <f>SUM(D392,D400,D406,D409,D414,D419,D422,D425,D434,D428,D431,D397,D403)</f>
        <v>585433374.79</v>
      </c>
      <c r="E391" s="17">
        <f>SUM(E392,E400,E406,E409,E414,E419,E422,E425,E434,E428,E431,E397,E403)</f>
        <v>29483974.900000006</v>
      </c>
      <c r="F391" s="17">
        <f t="shared" si="5"/>
        <v>614917349.6899999</v>
      </c>
    </row>
    <row r="392" spans="1:6" ht="31.5">
      <c r="A392" s="23" t="s">
        <v>262</v>
      </c>
      <c r="B392" s="20" t="s">
        <v>263</v>
      </c>
      <c r="C392" s="20"/>
      <c r="D392" s="21">
        <f>D395+D393</f>
        <v>20000000</v>
      </c>
      <c r="E392" s="21">
        <f>E395+E393</f>
        <v>28398068.75</v>
      </c>
      <c r="F392" s="21">
        <f aca="true" t="shared" si="7" ref="F392:F455">SUM(D392:E392)</f>
        <v>48398068.75</v>
      </c>
    </row>
    <row r="393" spans="1:6" ht="31.5">
      <c r="A393" s="26" t="s">
        <v>27</v>
      </c>
      <c r="B393" s="20" t="s">
        <v>263</v>
      </c>
      <c r="C393" s="20">
        <v>200</v>
      </c>
      <c r="D393" s="21">
        <f>D394</f>
        <v>0</v>
      </c>
      <c r="E393" s="21">
        <f>E394</f>
        <v>19055481.95</v>
      </c>
      <c r="F393" s="21">
        <f t="shared" si="7"/>
        <v>19055481.95</v>
      </c>
    </row>
    <row r="394" spans="1:6" ht="31.5">
      <c r="A394" s="26" t="s">
        <v>28</v>
      </c>
      <c r="B394" s="20" t="s">
        <v>263</v>
      </c>
      <c r="C394" s="20">
        <v>240</v>
      </c>
      <c r="D394" s="21">
        <v>0</v>
      </c>
      <c r="E394" s="21">
        <f>8448293.95+10527314.77+3079873.23-3000000</f>
        <v>19055481.95</v>
      </c>
      <c r="F394" s="21">
        <f t="shared" si="7"/>
        <v>19055481.95</v>
      </c>
    </row>
    <row r="395" spans="1:6" ht="15.75">
      <c r="A395" s="23" t="s">
        <v>17</v>
      </c>
      <c r="B395" s="20" t="s">
        <v>263</v>
      </c>
      <c r="C395" s="20">
        <v>800</v>
      </c>
      <c r="D395" s="21">
        <f>D396</f>
        <v>20000000</v>
      </c>
      <c r="E395" s="21">
        <f>E396</f>
        <v>9342586.8</v>
      </c>
      <c r="F395" s="21">
        <f t="shared" si="7"/>
        <v>29342586.8</v>
      </c>
    </row>
    <row r="396" spans="1:6" ht="52.5" customHeight="1">
      <c r="A396" s="23" t="s">
        <v>18</v>
      </c>
      <c r="B396" s="20" t="s">
        <v>263</v>
      </c>
      <c r="C396" s="20">
        <v>810</v>
      </c>
      <c r="D396" s="21">
        <f>10000000+10000000</f>
        <v>20000000</v>
      </c>
      <c r="E396" s="21">
        <f>5489685.6+3852901.2</f>
        <v>9342586.8</v>
      </c>
      <c r="F396" s="21">
        <f t="shared" si="7"/>
        <v>29342586.8</v>
      </c>
    </row>
    <row r="397" spans="1:6" ht="52.5" customHeight="1">
      <c r="A397" s="23" t="s">
        <v>264</v>
      </c>
      <c r="B397" s="20" t="s">
        <v>265</v>
      </c>
      <c r="C397" s="20"/>
      <c r="D397" s="21">
        <f>D398</f>
        <v>0</v>
      </c>
      <c r="E397" s="21">
        <f>E398</f>
        <v>45125445.56</v>
      </c>
      <c r="F397" s="21">
        <f t="shared" si="7"/>
        <v>45125445.56</v>
      </c>
    </row>
    <row r="398" spans="1:6" ht="38.25" customHeight="1">
      <c r="A398" s="26" t="s">
        <v>27</v>
      </c>
      <c r="B398" s="20" t="s">
        <v>265</v>
      </c>
      <c r="C398" s="20">
        <v>200</v>
      </c>
      <c r="D398" s="21">
        <f>D399</f>
        <v>0</v>
      </c>
      <c r="E398" s="21">
        <f>E399</f>
        <v>45125445.56</v>
      </c>
      <c r="F398" s="21">
        <f t="shared" si="7"/>
        <v>45125445.56</v>
      </c>
    </row>
    <row r="399" spans="1:6" ht="36" customHeight="1">
      <c r="A399" s="26" t="s">
        <v>28</v>
      </c>
      <c r="B399" s="20" t="s">
        <v>265</v>
      </c>
      <c r="C399" s="20">
        <v>240</v>
      </c>
      <c r="D399" s="21">
        <v>0</v>
      </c>
      <c r="E399" s="21">
        <f>34705496.57+1845842.63+8959437.47-385331.11</f>
        <v>45125445.56</v>
      </c>
      <c r="F399" s="21">
        <f t="shared" si="7"/>
        <v>45125445.56</v>
      </c>
    </row>
    <row r="400" spans="1:6" ht="31.5">
      <c r="A400" s="23" t="s">
        <v>266</v>
      </c>
      <c r="B400" s="20" t="s">
        <v>267</v>
      </c>
      <c r="C400" s="20"/>
      <c r="D400" s="21">
        <f>D401</f>
        <v>5000000</v>
      </c>
      <c r="E400" s="21">
        <f>E401</f>
        <v>-360935.97</v>
      </c>
      <c r="F400" s="21">
        <f t="shared" si="7"/>
        <v>4639064.03</v>
      </c>
    </row>
    <row r="401" spans="1:6" ht="15.75">
      <c r="A401" s="26" t="s">
        <v>17</v>
      </c>
      <c r="B401" s="20" t="s">
        <v>267</v>
      </c>
      <c r="C401" s="20">
        <v>800</v>
      </c>
      <c r="D401" s="21">
        <f>D402</f>
        <v>5000000</v>
      </c>
      <c r="E401" s="21">
        <f>E402</f>
        <v>-360935.97</v>
      </c>
      <c r="F401" s="21">
        <f t="shared" si="7"/>
        <v>4639064.03</v>
      </c>
    </row>
    <row r="402" spans="1:6" ht="54.75" customHeight="1">
      <c r="A402" s="23" t="s">
        <v>18</v>
      </c>
      <c r="B402" s="20" t="s">
        <v>267</v>
      </c>
      <c r="C402" s="20">
        <v>810</v>
      </c>
      <c r="D402" s="21">
        <v>5000000</v>
      </c>
      <c r="E402" s="21">
        <v>-360935.97</v>
      </c>
      <c r="F402" s="21">
        <f t="shared" si="7"/>
        <v>4639064.03</v>
      </c>
    </row>
    <row r="403" spans="1:6" ht="112.5" customHeight="1">
      <c r="A403" s="23" t="s">
        <v>268</v>
      </c>
      <c r="B403" s="20" t="s">
        <v>269</v>
      </c>
      <c r="C403" s="20"/>
      <c r="D403" s="21">
        <f>D404</f>
        <v>0</v>
      </c>
      <c r="E403" s="21">
        <f>E404</f>
        <v>742400</v>
      </c>
      <c r="F403" s="21">
        <f t="shared" si="7"/>
        <v>742400</v>
      </c>
    </row>
    <row r="404" spans="1:6" ht="20.25" customHeight="1">
      <c r="A404" s="26" t="s">
        <v>17</v>
      </c>
      <c r="B404" s="20" t="s">
        <v>269</v>
      </c>
      <c r="C404" s="20">
        <v>800</v>
      </c>
      <c r="D404" s="21">
        <f>D405</f>
        <v>0</v>
      </c>
      <c r="E404" s="21">
        <f>E405</f>
        <v>742400</v>
      </c>
      <c r="F404" s="21">
        <f t="shared" si="7"/>
        <v>742400</v>
      </c>
    </row>
    <row r="405" spans="1:6" ht="33" customHeight="1">
      <c r="A405" s="23" t="s">
        <v>18</v>
      </c>
      <c r="B405" s="20" t="s">
        <v>269</v>
      </c>
      <c r="C405" s="20">
        <v>810</v>
      </c>
      <c r="D405" s="21">
        <v>0</v>
      </c>
      <c r="E405" s="21">
        <v>742400</v>
      </c>
      <c r="F405" s="21">
        <f t="shared" si="7"/>
        <v>742400</v>
      </c>
    </row>
    <row r="406" spans="1:6" ht="47.25">
      <c r="A406" s="23" t="s">
        <v>270</v>
      </c>
      <c r="B406" s="20" t="s">
        <v>271</v>
      </c>
      <c r="C406" s="20"/>
      <c r="D406" s="21">
        <f>D407</f>
        <v>30000000</v>
      </c>
      <c r="E406" s="21">
        <f>E407</f>
        <v>-3044710.25</v>
      </c>
      <c r="F406" s="21">
        <f t="shared" si="7"/>
        <v>26955289.75</v>
      </c>
    </row>
    <row r="407" spans="1:6" ht="15.75">
      <c r="A407" s="26" t="s">
        <v>17</v>
      </c>
      <c r="B407" s="20" t="s">
        <v>271</v>
      </c>
      <c r="C407" s="20">
        <v>800</v>
      </c>
      <c r="D407" s="21">
        <f>D408</f>
        <v>30000000</v>
      </c>
      <c r="E407" s="21">
        <f>E408</f>
        <v>-3044710.25</v>
      </c>
      <c r="F407" s="21">
        <f t="shared" si="7"/>
        <v>26955289.75</v>
      </c>
    </row>
    <row r="408" spans="1:6" ht="51" customHeight="1">
      <c r="A408" s="23" t="s">
        <v>18</v>
      </c>
      <c r="B408" s="20" t="s">
        <v>271</v>
      </c>
      <c r="C408" s="20">
        <v>810</v>
      </c>
      <c r="D408" s="21">
        <f>28000000+2000000</f>
        <v>30000000</v>
      </c>
      <c r="E408" s="21">
        <f>-3044710.25</f>
        <v>-3044710.25</v>
      </c>
      <c r="F408" s="21">
        <f t="shared" si="7"/>
        <v>26955289.75</v>
      </c>
    </row>
    <row r="409" spans="1:6" ht="31.5">
      <c r="A409" s="23" t="s">
        <v>272</v>
      </c>
      <c r="B409" s="20" t="s">
        <v>273</v>
      </c>
      <c r="C409" s="20"/>
      <c r="D409" s="21">
        <f>SUM(D410,D412)</f>
        <v>300840070</v>
      </c>
      <c r="E409" s="21">
        <f>SUM(E410,E412)</f>
        <v>-15066969.159999996</v>
      </c>
      <c r="F409" s="21">
        <f t="shared" si="7"/>
        <v>285773100.84000003</v>
      </c>
    </row>
    <row r="410" spans="1:6" ht="31.5">
      <c r="A410" s="26" t="s">
        <v>27</v>
      </c>
      <c r="B410" s="20" t="s">
        <v>273</v>
      </c>
      <c r="C410" s="20">
        <v>200</v>
      </c>
      <c r="D410" s="21">
        <f>D411</f>
        <v>840070</v>
      </c>
      <c r="E410" s="21">
        <f>E411</f>
        <v>342398.84</v>
      </c>
      <c r="F410" s="21">
        <f t="shared" si="7"/>
        <v>1182468.84</v>
      </c>
    </row>
    <row r="411" spans="1:6" ht="31.5">
      <c r="A411" s="26" t="s">
        <v>28</v>
      </c>
      <c r="B411" s="20" t="s">
        <v>273</v>
      </c>
      <c r="C411" s="20">
        <v>240</v>
      </c>
      <c r="D411" s="21">
        <v>840070</v>
      </c>
      <c r="E411" s="21">
        <f>171199.42+171199.42</f>
        <v>342398.84</v>
      </c>
      <c r="F411" s="21">
        <f t="shared" si="7"/>
        <v>1182468.84</v>
      </c>
    </row>
    <row r="412" spans="1:6" s="38" customFormat="1" ht="15.75">
      <c r="A412" s="23" t="s">
        <v>17</v>
      </c>
      <c r="B412" s="20" t="s">
        <v>273</v>
      </c>
      <c r="C412" s="20">
        <v>800</v>
      </c>
      <c r="D412" s="21">
        <f>D413</f>
        <v>300000000</v>
      </c>
      <c r="E412" s="21">
        <f>E413</f>
        <v>-15409367.999999996</v>
      </c>
      <c r="F412" s="21">
        <f t="shared" si="7"/>
        <v>284590632</v>
      </c>
    </row>
    <row r="413" spans="1:6" s="38" customFormat="1" ht="53.25" customHeight="1">
      <c r="A413" s="23" t="s">
        <v>18</v>
      </c>
      <c r="B413" s="20" t="s">
        <v>273</v>
      </c>
      <c r="C413" s="20">
        <v>810</v>
      </c>
      <c r="D413" s="21">
        <f>310000000-10000000</f>
        <v>300000000</v>
      </c>
      <c r="E413" s="27">
        <f>-3700000-10527314.77+3700000-30322000+10409368+15030578.77</f>
        <v>-15409367.999999996</v>
      </c>
      <c r="F413" s="21">
        <f t="shared" si="7"/>
        <v>284590632</v>
      </c>
    </row>
    <row r="414" spans="1:6" s="38" customFormat="1" ht="31.5">
      <c r="A414" s="36" t="s">
        <v>274</v>
      </c>
      <c r="B414" s="20" t="s">
        <v>275</v>
      </c>
      <c r="C414" s="20"/>
      <c r="D414" s="21">
        <f>SUM(D417,D415)</f>
        <v>20000000</v>
      </c>
      <c r="E414" s="21">
        <f>SUM(E417,E415)</f>
        <v>661471.5499999999</v>
      </c>
      <c r="F414" s="21">
        <f t="shared" si="7"/>
        <v>20661471.55</v>
      </c>
    </row>
    <row r="415" spans="1:6" s="38" customFormat="1" ht="31.5">
      <c r="A415" s="26" t="s">
        <v>27</v>
      </c>
      <c r="B415" s="20" t="s">
        <v>275</v>
      </c>
      <c r="C415" s="20">
        <v>200</v>
      </c>
      <c r="D415" s="21">
        <f>D416</f>
        <v>0</v>
      </c>
      <c r="E415" s="21">
        <f>E416</f>
        <v>189736.54999999996</v>
      </c>
      <c r="F415" s="21">
        <f t="shared" si="7"/>
        <v>189736.54999999996</v>
      </c>
    </row>
    <row r="416" spans="1:6" s="38" customFormat="1" ht="31.5">
      <c r="A416" s="26" t="s">
        <v>28</v>
      </c>
      <c r="B416" s="20" t="s">
        <v>275</v>
      </c>
      <c r="C416" s="20">
        <v>240</v>
      </c>
      <c r="D416" s="21">
        <v>0</v>
      </c>
      <c r="E416" s="21">
        <f>360935.97-171199.42</f>
        <v>189736.54999999996</v>
      </c>
      <c r="F416" s="21">
        <f t="shared" si="7"/>
        <v>189736.54999999996</v>
      </c>
    </row>
    <row r="417" spans="1:6" ht="15.75">
      <c r="A417" s="23" t="s">
        <v>17</v>
      </c>
      <c r="B417" s="20" t="s">
        <v>275</v>
      </c>
      <c r="C417" s="20">
        <v>800</v>
      </c>
      <c r="D417" s="21">
        <f>D418</f>
        <v>20000000</v>
      </c>
      <c r="E417" s="21">
        <f>E418</f>
        <v>471735</v>
      </c>
      <c r="F417" s="21">
        <f t="shared" si="7"/>
        <v>20471735</v>
      </c>
    </row>
    <row r="418" spans="1:6" ht="54" customHeight="1">
      <c r="A418" s="23" t="s">
        <v>18</v>
      </c>
      <c r="B418" s="20" t="s">
        <v>275</v>
      </c>
      <c r="C418" s="20">
        <v>810</v>
      </c>
      <c r="D418" s="21">
        <v>20000000</v>
      </c>
      <c r="E418" s="21">
        <v>471735</v>
      </c>
      <c r="F418" s="21">
        <f t="shared" si="7"/>
        <v>20471735</v>
      </c>
    </row>
    <row r="419" spans="1:6" ht="63">
      <c r="A419" s="23" t="s">
        <v>276</v>
      </c>
      <c r="B419" s="20" t="s">
        <v>277</v>
      </c>
      <c r="C419" s="20"/>
      <c r="D419" s="21">
        <f>D420</f>
        <v>12445448.94</v>
      </c>
      <c r="E419" s="21">
        <f>E420</f>
        <v>-8564106.370000001</v>
      </c>
      <c r="F419" s="21">
        <f t="shared" si="7"/>
        <v>3881342.5699999984</v>
      </c>
    </row>
    <row r="420" spans="1:6" ht="31.5">
      <c r="A420" s="26" t="s">
        <v>27</v>
      </c>
      <c r="B420" s="20" t="s">
        <v>277</v>
      </c>
      <c r="C420" s="20">
        <v>200</v>
      </c>
      <c r="D420" s="21">
        <f>D421</f>
        <v>12445448.94</v>
      </c>
      <c r="E420" s="21">
        <f>E421</f>
        <v>-8564106.370000001</v>
      </c>
      <c r="F420" s="21">
        <f t="shared" si="7"/>
        <v>3881342.5699999984</v>
      </c>
    </row>
    <row r="421" spans="1:6" ht="31.5">
      <c r="A421" s="26" t="s">
        <v>28</v>
      </c>
      <c r="B421" s="20" t="s">
        <v>277</v>
      </c>
      <c r="C421" s="20">
        <v>240</v>
      </c>
      <c r="D421" s="21">
        <f>619000.17+11826448.77</f>
        <v>12445448.94</v>
      </c>
      <c r="E421" s="21">
        <f>-8959437.47+9999.99+385331.11</f>
        <v>-8564106.370000001</v>
      </c>
      <c r="F421" s="21">
        <f t="shared" si="7"/>
        <v>3881342.5699999984</v>
      </c>
    </row>
    <row r="422" spans="1:6" ht="31.5">
      <c r="A422" s="23" t="s">
        <v>278</v>
      </c>
      <c r="B422" s="30" t="s">
        <v>279</v>
      </c>
      <c r="C422" s="20"/>
      <c r="D422" s="21">
        <f>D423</f>
        <v>60895101.97</v>
      </c>
      <c r="E422" s="21">
        <f>E423</f>
        <v>-34993759.74</v>
      </c>
      <c r="F422" s="21">
        <f t="shared" si="7"/>
        <v>25901342.229999997</v>
      </c>
    </row>
    <row r="423" spans="1:6" ht="31.5">
      <c r="A423" s="23" t="s">
        <v>123</v>
      </c>
      <c r="B423" s="30" t="s">
        <v>279</v>
      </c>
      <c r="C423" s="20">
        <v>400</v>
      </c>
      <c r="D423" s="21">
        <f>D424</f>
        <v>60895101.97</v>
      </c>
      <c r="E423" s="21">
        <f>E424</f>
        <v>-34993759.74</v>
      </c>
      <c r="F423" s="21">
        <f t="shared" si="7"/>
        <v>25901342.229999997</v>
      </c>
    </row>
    <row r="424" spans="1:6" ht="15.75">
      <c r="A424" s="39" t="s">
        <v>124</v>
      </c>
      <c r="B424" s="40" t="s">
        <v>279</v>
      </c>
      <c r="C424" s="41">
        <v>410</v>
      </c>
      <c r="D424" s="42">
        <f>61120000+817530+142372.35-1184800.38</f>
        <v>60895101.97</v>
      </c>
      <c r="E424" s="42">
        <f>7532648.52-452000+1752.21-311416.67-300000-144000-250000-177747.6-3079873.23-1711776-1376330-38863.21-5158000-295829.74-200000-20460998.91-250000-215420-438500-103833.62+136428.51-300000-100000-200000-100000-7000000</f>
        <v>-34993759.74</v>
      </c>
      <c r="F424" s="21">
        <f t="shared" si="7"/>
        <v>25901342.229999997</v>
      </c>
    </row>
    <row r="425" spans="1:6" ht="47.25">
      <c r="A425" s="39" t="s">
        <v>280</v>
      </c>
      <c r="B425" s="40" t="s">
        <v>281</v>
      </c>
      <c r="C425" s="41"/>
      <c r="D425" s="42">
        <f>D426</f>
        <v>1291246.77</v>
      </c>
      <c r="E425" s="42">
        <f>E426</f>
        <v>21995408.7</v>
      </c>
      <c r="F425" s="21">
        <f t="shared" si="7"/>
        <v>23286655.47</v>
      </c>
    </row>
    <row r="426" spans="1:6" ht="31.5">
      <c r="A426" s="23" t="s">
        <v>123</v>
      </c>
      <c r="B426" s="40" t="s">
        <v>281</v>
      </c>
      <c r="C426" s="41">
        <v>400</v>
      </c>
      <c r="D426" s="42">
        <f>D427</f>
        <v>1291246.77</v>
      </c>
      <c r="E426" s="42">
        <f>E427</f>
        <v>21995408.7</v>
      </c>
      <c r="F426" s="21">
        <f t="shared" si="7"/>
        <v>23286655.47</v>
      </c>
    </row>
    <row r="427" spans="1:6" ht="15.75">
      <c r="A427" s="39" t="s">
        <v>124</v>
      </c>
      <c r="B427" s="40" t="s">
        <v>281</v>
      </c>
      <c r="C427" s="41">
        <v>410</v>
      </c>
      <c r="D427" s="42">
        <v>1291246.77</v>
      </c>
      <c r="E427" s="42">
        <f>23286655.47-1291246.77</f>
        <v>21995408.7</v>
      </c>
      <c r="F427" s="21">
        <f t="shared" si="7"/>
        <v>23286655.47</v>
      </c>
    </row>
    <row r="428" spans="1:6" ht="63">
      <c r="A428" s="23" t="s">
        <v>282</v>
      </c>
      <c r="B428" s="30" t="s">
        <v>283</v>
      </c>
      <c r="C428" s="20"/>
      <c r="D428" s="21">
        <f>D429</f>
        <v>92254025</v>
      </c>
      <c r="E428" s="21">
        <f>E429</f>
        <v>-13818072.14</v>
      </c>
      <c r="F428" s="21">
        <f t="shared" si="7"/>
        <v>78435952.86</v>
      </c>
    </row>
    <row r="429" spans="1:6" ht="31.5">
      <c r="A429" s="23" t="s">
        <v>123</v>
      </c>
      <c r="B429" s="30" t="s">
        <v>283</v>
      </c>
      <c r="C429" s="20">
        <v>400</v>
      </c>
      <c r="D429" s="21">
        <f>D430</f>
        <v>92254025</v>
      </c>
      <c r="E429" s="21">
        <f>E430</f>
        <v>-13818072.14</v>
      </c>
      <c r="F429" s="21">
        <f t="shared" si="7"/>
        <v>78435952.86</v>
      </c>
    </row>
    <row r="430" spans="1:6" ht="15.75">
      <c r="A430" s="23" t="s">
        <v>124</v>
      </c>
      <c r="B430" s="30" t="s">
        <v>283</v>
      </c>
      <c r="C430" s="20">
        <v>410</v>
      </c>
      <c r="D430" s="21">
        <f>91331484.75+922540.25</f>
        <v>92254025</v>
      </c>
      <c r="E430" s="21">
        <f>-173468.79-1752.21-13506422.63-136428.51</f>
        <v>-13818072.14</v>
      </c>
      <c r="F430" s="21">
        <f t="shared" si="7"/>
        <v>78435952.86</v>
      </c>
    </row>
    <row r="431" spans="1:6" ht="78.75">
      <c r="A431" s="26" t="s">
        <v>284</v>
      </c>
      <c r="B431" s="30" t="s">
        <v>285</v>
      </c>
      <c r="C431" s="20"/>
      <c r="D431" s="21">
        <f>D432</f>
        <v>0</v>
      </c>
      <c r="E431" s="21">
        <f>E432</f>
        <v>51117216.08</v>
      </c>
      <c r="F431" s="21">
        <f t="shared" si="7"/>
        <v>51117216.08</v>
      </c>
    </row>
    <row r="432" spans="1:6" ht="31.5">
      <c r="A432" s="26" t="s">
        <v>27</v>
      </c>
      <c r="B432" s="30" t="s">
        <v>285</v>
      </c>
      <c r="C432" s="20">
        <v>200</v>
      </c>
      <c r="D432" s="21">
        <f>D433</f>
        <v>0</v>
      </c>
      <c r="E432" s="21">
        <f>E433</f>
        <v>51117216.08</v>
      </c>
      <c r="F432" s="21">
        <f t="shared" si="7"/>
        <v>51117216.08</v>
      </c>
    </row>
    <row r="433" spans="1:6" ht="31.5">
      <c r="A433" s="26" t="s">
        <v>28</v>
      </c>
      <c r="B433" s="30" t="s">
        <v>285</v>
      </c>
      <c r="C433" s="20">
        <v>240</v>
      </c>
      <c r="D433" s="21">
        <v>0</v>
      </c>
      <c r="E433" s="21">
        <f>42707482.11+7989247.27+420486.7</f>
        <v>51117216.08</v>
      </c>
      <c r="F433" s="21">
        <f t="shared" si="7"/>
        <v>51117216.08</v>
      </c>
    </row>
    <row r="434" spans="1:6" s="14" customFormat="1" ht="78.75">
      <c r="A434" s="26" t="s">
        <v>284</v>
      </c>
      <c r="B434" s="30" t="s">
        <v>286</v>
      </c>
      <c r="C434" s="20"/>
      <c r="D434" s="21">
        <f>D435</f>
        <v>42707482.11</v>
      </c>
      <c r="E434" s="21">
        <f>E435</f>
        <v>-42707482.11</v>
      </c>
      <c r="F434" s="21">
        <f t="shared" si="7"/>
        <v>0</v>
      </c>
    </row>
    <row r="435" spans="1:6" s="14" customFormat="1" ht="31.5">
      <c r="A435" s="26" t="s">
        <v>27</v>
      </c>
      <c r="B435" s="30" t="s">
        <v>286</v>
      </c>
      <c r="C435" s="20">
        <v>200</v>
      </c>
      <c r="D435" s="21">
        <f>D436</f>
        <v>42707482.11</v>
      </c>
      <c r="E435" s="21">
        <f>E436</f>
        <v>-42707482.11</v>
      </c>
      <c r="F435" s="21">
        <f t="shared" si="7"/>
        <v>0</v>
      </c>
    </row>
    <row r="436" spans="1:6" s="14" customFormat="1" ht="31.5">
      <c r="A436" s="26" t="s">
        <v>28</v>
      </c>
      <c r="B436" s="30" t="s">
        <v>286</v>
      </c>
      <c r="C436" s="20">
        <v>240</v>
      </c>
      <c r="D436" s="21">
        <f>2135374.11+40572108</f>
        <v>42707482.11</v>
      </c>
      <c r="E436" s="21">
        <v>-42707482.11</v>
      </c>
      <c r="F436" s="21">
        <f t="shared" si="7"/>
        <v>0</v>
      </c>
    </row>
    <row r="437" spans="1:6" s="22" customFormat="1" ht="47.25">
      <c r="A437" s="15" t="s">
        <v>287</v>
      </c>
      <c r="B437" s="16" t="s">
        <v>288</v>
      </c>
      <c r="C437" s="43"/>
      <c r="D437" s="17">
        <f>D438+D441+D444+D447+D450</f>
        <v>74500000</v>
      </c>
      <c r="E437" s="17">
        <f>E438+E441+E444+E447+E450</f>
        <v>906597.59</v>
      </c>
      <c r="F437" s="17">
        <f t="shared" si="7"/>
        <v>75406597.59</v>
      </c>
    </row>
    <row r="438" spans="1:6" s="14" customFormat="1" ht="15.75">
      <c r="A438" s="23" t="s">
        <v>289</v>
      </c>
      <c r="B438" s="20" t="s">
        <v>290</v>
      </c>
      <c r="C438" s="20"/>
      <c r="D438" s="21">
        <f>D439</f>
        <v>300000</v>
      </c>
      <c r="E438" s="21">
        <f>E439</f>
        <v>0</v>
      </c>
      <c r="F438" s="21">
        <f t="shared" si="7"/>
        <v>300000</v>
      </c>
    </row>
    <row r="439" spans="1:6" s="14" customFormat="1" ht="15.75">
      <c r="A439" s="26" t="s">
        <v>17</v>
      </c>
      <c r="B439" s="20" t="s">
        <v>290</v>
      </c>
      <c r="C439" s="20">
        <v>800</v>
      </c>
      <c r="D439" s="21">
        <f>D440</f>
        <v>300000</v>
      </c>
      <c r="E439" s="21">
        <f>E440</f>
        <v>0</v>
      </c>
      <c r="F439" s="21">
        <f t="shared" si="7"/>
        <v>300000</v>
      </c>
    </row>
    <row r="440" spans="1:6" s="22" customFormat="1" ht="63">
      <c r="A440" s="23" t="s">
        <v>18</v>
      </c>
      <c r="B440" s="20" t="s">
        <v>290</v>
      </c>
      <c r="C440" s="20">
        <v>810</v>
      </c>
      <c r="D440" s="21">
        <v>300000</v>
      </c>
      <c r="E440" s="21">
        <v>0</v>
      </c>
      <c r="F440" s="21">
        <f t="shared" si="7"/>
        <v>300000</v>
      </c>
    </row>
    <row r="441" spans="1:6" s="22" customFormat="1" ht="31.5">
      <c r="A441" s="23" t="s">
        <v>291</v>
      </c>
      <c r="B441" s="20" t="s">
        <v>292</v>
      </c>
      <c r="C441" s="43"/>
      <c r="D441" s="21">
        <f>D442</f>
        <v>9000000</v>
      </c>
      <c r="E441" s="21">
        <f>E442</f>
        <v>906597.59</v>
      </c>
      <c r="F441" s="21">
        <f t="shared" si="7"/>
        <v>9906597.59</v>
      </c>
    </row>
    <row r="442" spans="1:6" s="14" customFormat="1" ht="31.5">
      <c r="A442" s="26" t="s">
        <v>293</v>
      </c>
      <c r="B442" s="20" t="s">
        <v>292</v>
      </c>
      <c r="C442" s="30" t="s">
        <v>84</v>
      </c>
      <c r="D442" s="21">
        <f>D443</f>
        <v>9000000</v>
      </c>
      <c r="E442" s="21">
        <f>E443</f>
        <v>906597.59</v>
      </c>
      <c r="F442" s="21">
        <f t="shared" si="7"/>
        <v>9906597.59</v>
      </c>
    </row>
    <row r="443" spans="1:6" s="14" customFormat="1" ht="31.5">
      <c r="A443" s="26" t="s">
        <v>28</v>
      </c>
      <c r="B443" s="20" t="s">
        <v>292</v>
      </c>
      <c r="C443" s="30" t="s">
        <v>85</v>
      </c>
      <c r="D443" s="21">
        <v>9000000</v>
      </c>
      <c r="E443" s="21">
        <v>906597.59</v>
      </c>
      <c r="F443" s="21">
        <f t="shared" si="7"/>
        <v>9906597.59</v>
      </c>
    </row>
    <row r="444" spans="1:6" s="14" customFormat="1" ht="31.5">
      <c r="A444" s="23" t="s">
        <v>294</v>
      </c>
      <c r="B444" s="20" t="s">
        <v>295</v>
      </c>
      <c r="C444" s="20"/>
      <c r="D444" s="21">
        <f>D445</f>
        <v>61000000</v>
      </c>
      <c r="E444" s="21">
        <f>E445</f>
        <v>0</v>
      </c>
      <c r="F444" s="21">
        <f t="shared" si="7"/>
        <v>61000000</v>
      </c>
    </row>
    <row r="445" spans="1:6" s="14" customFormat="1" ht="15.75">
      <c r="A445" s="23" t="s">
        <v>17</v>
      </c>
      <c r="B445" s="20" t="s">
        <v>295</v>
      </c>
      <c r="C445" s="20">
        <v>800</v>
      </c>
      <c r="D445" s="21">
        <f>D446</f>
        <v>61000000</v>
      </c>
      <c r="E445" s="21">
        <f>E446</f>
        <v>0</v>
      </c>
      <c r="F445" s="21">
        <f t="shared" si="7"/>
        <v>61000000</v>
      </c>
    </row>
    <row r="446" spans="1:6" s="14" customFormat="1" ht="63">
      <c r="A446" s="23" t="s">
        <v>18</v>
      </c>
      <c r="B446" s="20" t="s">
        <v>295</v>
      </c>
      <c r="C446" s="20">
        <v>810</v>
      </c>
      <c r="D446" s="21">
        <v>61000000</v>
      </c>
      <c r="E446" s="21">
        <v>0</v>
      </c>
      <c r="F446" s="21">
        <f t="shared" si="7"/>
        <v>61000000</v>
      </c>
    </row>
    <row r="447" spans="1:6" s="14" customFormat="1" ht="31.5">
      <c r="A447" s="23" t="s">
        <v>296</v>
      </c>
      <c r="B447" s="20" t="s">
        <v>297</v>
      </c>
      <c r="C447" s="20"/>
      <c r="D447" s="21">
        <f>D448</f>
        <v>4000000</v>
      </c>
      <c r="E447" s="21">
        <f>E448</f>
        <v>0</v>
      </c>
      <c r="F447" s="21">
        <f t="shared" si="7"/>
        <v>4000000</v>
      </c>
    </row>
    <row r="448" spans="1:6" s="14" customFormat="1" ht="15.75">
      <c r="A448" s="23" t="s">
        <v>17</v>
      </c>
      <c r="B448" s="20" t="s">
        <v>297</v>
      </c>
      <c r="C448" s="20">
        <v>800</v>
      </c>
      <c r="D448" s="21">
        <f>D449</f>
        <v>4000000</v>
      </c>
      <c r="E448" s="21">
        <f>E449</f>
        <v>0</v>
      </c>
      <c r="F448" s="21">
        <f t="shared" si="7"/>
        <v>4000000</v>
      </c>
    </row>
    <row r="449" spans="1:6" s="14" customFormat="1" ht="63">
      <c r="A449" s="23" t="s">
        <v>18</v>
      </c>
      <c r="B449" s="20" t="s">
        <v>297</v>
      </c>
      <c r="C449" s="20">
        <v>810</v>
      </c>
      <c r="D449" s="21">
        <v>4000000</v>
      </c>
      <c r="E449" s="21">
        <v>0</v>
      </c>
      <c r="F449" s="21">
        <f t="shared" si="7"/>
        <v>4000000</v>
      </c>
    </row>
    <row r="450" spans="1:6" s="22" customFormat="1" ht="47.25">
      <c r="A450" s="23" t="s">
        <v>298</v>
      </c>
      <c r="B450" s="20" t="s">
        <v>299</v>
      </c>
      <c r="C450" s="20"/>
      <c r="D450" s="21">
        <f>D451</f>
        <v>200000</v>
      </c>
      <c r="E450" s="21">
        <f>E451</f>
        <v>0</v>
      </c>
      <c r="F450" s="21">
        <f t="shared" si="7"/>
        <v>200000</v>
      </c>
    </row>
    <row r="451" spans="1:6" s="22" customFormat="1" ht="15.75">
      <c r="A451" s="23" t="s">
        <v>17</v>
      </c>
      <c r="B451" s="20" t="s">
        <v>299</v>
      </c>
      <c r="C451" s="20">
        <v>800</v>
      </c>
      <c r="D451" s="21">
        <f>D452</f>
        <v>200000</v>
      </c>
      <c r="E451" s="21">
        <f>E452</f>
        <v>0</v>
      </c>
      <c r="F451" s="21">
        <f t="shared" si="7"/>
        <v>200000</v>
      </c>
    </row>
    <row r="452" spans="1:6" s="22" customFormat="1" ht="63">
      <c r="A452" s="23" t="s">
        <v>18</v>
      </c>
      <c r="B452" s="20" t="s">
        <v>299</v>
      </c>
      <c r="C452" s="20">
        <v>810</v>
      </c>
      <c r="D452" s="21">
        <v>200000</v>
      </c>
      <c r="E452" s="21">
        <v>0</v>
      </c>
      <c r="F452" s="21">
        <f t="shared" si="7"/>
        <v>200000</v>
      </c>
    </row>
    <row r="453" spans="1:6" s="22" customFormat="1" ht="47.25">
      <c r="A453" s="15" t="s">
        <v>300</v>
      </c>
      <c r="B453" s="16" t="s">
        <v>301</v>
      </c>
      <c r="C453" s="16"/>
      <c r="D453" s="17">
        <f>D454+D457+D460+D463+D466</f>
        <v>16518193</v>
      </c>
      <c r="E453" s="17">
        <f>E454+E457+E460+E463+E466</f>
        <v>1125000</v>
      </c>
      <c r="F453" s="17">
        <f t="shared" si="7"/>
        <v>17643193</v>
      </c>
    </row>
    <row r="454" spans="1:6" s="1" customFormat="1" ht="47.25">
      <c r="A454" s="23" t="s">
        <v>302</v>
      </c>
      <c r="B454" s="20" t="s">
        <v>303</v>
      </c>
      <c r="C454" s="20"/>
      <c r="D454" s="21">
        <f>D455</f>
        <v>150000</v>
      </c>
      <c r="E454" s="21">
        <f>E455</f>
        <v>0</v>
      </c>
      <c r="F454" s="21">
        <f t="shared" si="7"/>
        <v>150000</v>
      </c>
    </row>
    <row r="455" spans="1:6" s="1" customFormat="1" ht="15.75">
      <c r="A455" s="26" t="s">
        <v>17</v>
      </c>
      <c r="B455" s="20" t="s">
        <v>303</v>
      </c>
      <c r="C455" s="20">
        <v>800</v>
      </c>
      <c r="D455" s="21">
        <f>D456</f>
        <v>150000</v>
      </c>
      <c r="E455" s="21">
        <f>E456</f>
        <v>0</v>
      </c>
      <c r="F455" s="21">
        <f t="shared" si="7"/>
        <v>150000</v>
      </c>
    </row>
    <row r="456" spans="1:6" s="1" customFormat="1" ht="50.25" customHeight="1">
      <c r="A456" s="23" t="s">
        <v>18</v>
      </c>
      <c r="B456" s="20" t="s">
        <v>303</v>
      </c>
      <c r="C456" s="20">
        <v>810</v>
      </c>
      <c r="D456" s="24">
        <v>150000</v>
      </c>
      <c r="E456" s="24">
        <v>0</v>
      </c>
      <c r="F456" s="21">
        <f aca="true" t="shared" si="8" ref="F456:F519">SUM(D456:E456)</f>
        <v>150000</v>
      </c>
    </row>
    <row r="457" spans="1:6" s="14" customFormat="1" ht="15.75">
      <c r="A457" s="23" t="s">
        <v>304</v>
      </c>
      <c r="B457" s="20" t="s">
        <v>305</v>
      </c>
      <c r="C457" s="20"/>
      <c r="D457" s="21">
        <f>D458</f>
        <v>14668193</v>
      </c>
      <c r="E457" s="21">
        <f>E458</f>
        <v>0</v>
      </c>
      <c r="F457" s="21">
        <f t="shared" si="8"/>
        <v>14668193</v>
      </c>
    </row>
    <row r="458" spans="1:6" s="14" customFormat="1" ht="15.75">
      <c r="A458" s="26" t="s">
        <v>17</v>
      </c>
      <c r="B458" s="20" t="s">
        <v>305</v>
      </c>
      <c r="C458" s="20">
        <v>800</v>
      </c>
      <c r="D458" s="21">
        <f>D459</f>
        <v>14668193</v>
      </c>
      <c r="E458" s="21">
        <f>E459</f>
        <v>0</v>
      </c>
      <c r="F458" s="21">
        <f t="shared" si="8"/>
        <v>14668193</v>
      </c>
    </row>
    <row r="459" spans="1:6" s="14" customFormat="1" ht="63">
      <c r="A459" s="23" t="s">
        <v>18</v>
      </c>
      <c r="B459" s="20" t="s">
        <v>305</v>
      </c>
      <c r="C459" s="20">
        <v>810</v>
      </c>
      <c r="D459" s="21">
        <v>14668193</v>
      </c>
      <c r="E459" s="21">
        <v>0</v>
      </c>
      <c r="F459" s="21">
        <f t="shared" si="8"/>
        <v>14668193</v>
      </c>
    </row>
    <row r="460" spans="1:6" s="14" customFormat="1" ht="31.5">
      <c r="A460" s="23" t="s">
        <v>306</v>
      </c>
      <c r="B460" s="20" t="s">
        <v>307</v>
      </c>
      <c r="C460" s="20"/>
      <c r="D460" s="21">
        <f>D461</f>
        <v>900000</v>
      </c>
      <c r="E460" s="21">
        <f>E461</f>
        <v>1000000</v>
      </c>
      <c r="F460" s="21">
        <f t="shared" si="8"/>
        <v>1900000</v>
      </c>
    </row>
    <row r="461" spans="1:6" s="14" customFormat="1" ht="31.5">
      <c r="A461" s="23" t="s">
        <v>123</v>
      </c>
      <c r="B461" s="20" t="s">
        <v>307</v>
      </c>
      <c r="C461" s="20">
        <v>400</v>
      </c>
      <c r="D461" s="21">
        <f>D462</f>
        <v>900000</v>
      </c>
      <c r="E461" s="21">
        <f>E462</f>
        <v>1000000</v>
      </c>
      <c r="F461" s="21">
        <f t="shared" si="8"/>
        <v>1900000</v>
      </c>
    </row>
    <row r="462" spans="1:6" s="14" customFormat="1" ht="110.25">
      <c r="A462" s="23" t="s">
        <v>308</v>
      </c>
      <c r="B462" s="20" t="s">
        <v>307</v>
      </c>
      <c r="C462" s="20">
        <v>460</v>
      </c>
      <c r="D462" s="21">
        <v>900000</v>
      </c>
      <c r="E462" s="21">
        <v>1000000</v>
      </c>
      <c r="F462" s="21">
        <f t="shared" si="8"/>
        <v>1900000</v>
      </c>
    </row>
    <row r="463" spans="1:6" s="14" customFormat="1" ht="15.75">
      <c r="A463" s="23" t="s">
        <v>309</v>
      </c>
      <c r="B463" s="20" t="s">
        <v>310</v>
      </c>
      <c r="C463" s="20"/>
      <c r="D463" s="24">
        <f>D464</f>
        <v>800000</v>
      </c>
      <c r="E463" s="24">
        <f>E464</f>
        <v>0</v>
      </c>
      <c r="F463" s="21">
        <f t="shared" si="8"/>
        <v>800000</v>
      </c>
    </row>
    <row r="464" spans="1:6" s="14" customFormat="1" ht="15.75">
      <c r="A464" s="26" t="s">
        <v>17</v>
      </c>
      <c r="B464" s="20" t="s">
        <v>310</v>
      </c>
      <c r="C464" s="20">
        <v>800</v>
      </c>
      <c r="D464" s="24">
        <f>D465</f>
        <v>800000</v>
      </c>
      <c r="E464" s="24">
        <f>E465</f>
        <v>0</v>
      </c>
      <c r="F464" s="21">
        <f t="shared" si="8"/>
        <v>800000</v>
      </c>
    </row>
    <row r="465" spans="1:6" s="14" customFormat="1" ht="63">
      <c r="A465" s="23" t="s">
        <v>18</v>
      </c>
      <c r="B465" s="20" t="s">
        <v>310</v>
      </c>
      <c r="C465" s="20">
        <v>810</v>
      </c>
      <c r="D465" s="24">
        <v>800000</v>
      </c>
      <c r="E465" s="24">
        <v>0</v>
      </c>
      <c r="F465" s="21">
        <f t="shared" si="8"/>
        <v>800000</v>
      </c>
    </row>
    <row r="466" spans="1:6" s="14" customFormat="1" ht="31.5">
      <c r="A466" s="23" t="s">
        <v>311</v>
      </c>
      <c r="B466" s="20" t="s">
        <v>312</v>
      </c>
      <c r="C466" s="20"/>
      <c r="D466" s="24">
        <f>D467</f>
        <v>0</v>
      </c>
      <c r="E466" s="24">
        <f>E467</f>
        <v>125000</v>
      </c>
      <c r="F466" s="21">
        <f t="shared" si="8"/>
        <v>125000</v>
      </c>
    </row>
    <row r="467" spans="1:6" s="14" customFormat="1" ht="31.5">
      <c r="A467" s="26" t="s">
        <v>27</v>
      </c>
      <c r="B467" s="20" t="s">
        <v>312</v>
      </c>
      <c r="C467" s="20">
        <v>200</v>
      </c>
      <c r="D467" s="24">
        <f>D468</f>
        <v>0</v>
      </c>
      <c r="E467" s="24">
        <f>E468</f>
        <v>125000</v>
      </c>
      <c r="F467" s="21">
        <f t="shared" si="8"/>
        <v>125000</v>
      </c>
    </row>
    <row r="468" spans="1:6" s="14" customFormat="1" ht="31.5">
      <c r="A468" s="26" t="s">
        <v>28</v>
      </c>
      <c r="B468" s="20" t="s">
        <v>312</v>
      </c>
      <c r="C468" s="20">
        <v>240</v>
      </c>
      <c r="D468" s="24">
        <v>0</v>
      </c>
      <c r="E468" s="24">
        <f>180000-55000</f>
        <v>125000</v>
      </c>
      <c r="F468" s="21">
        <f t="shared" si="8"/>
        <v>125000</v>
      </c>
    </row>
    <row r="469" spans="1:6" s="14" customFormat="1" ht="31.5">
      <c r="A469" s="15" t="s">
        <v>313</v>
      </c>
      <c r="B469" s="16" t="s">
        <v>314</v>
      </c>
      <c r="C469" s="16"/>
      <c r="D469" s="17">
        <f>D470+D482+D489+D504</f>
        <v>261371000</v>
      </c>
      <c r="E469" s="17">
        <f>E470+E482+E489+E504</f>
        <v>59372876.47999999</v>
      </c>
      <c r="F469" s="17">
        <f t="shared" si="8"/>
        <v>320743876.48</v>
      </c>
    </row>
    <row r="470" spans="1:6" s="14" customFormat="1" ht="31.5">
      <c r="A470" s="23" t="s">
        <v>315</v>
      </c>
      <c r="B470" s="20" t="s">
        <v>316</v>
      </c>
      <c r="C470" s="20"/>
      <c r="D470" s="21">
        <f>SUM(D471,D476,D479)</f>
        <v>123000000</v>
      </c>
      <c r="E470" s="21">
        <f>SUM(E471,E476,E479)</f>
        <v>-38147264.59</v>
      </c>
      <c r="F470" s="21">
        <f t="shared" si="8"/>
        <v>84852735.41</v>
      </c>
    </row>
    <row r="471" spans="1:6" s="14" customFormat="1" ht="31.5">
      <c r="A471" s="23" t="s">
        <v>317</v>
      </c>
      <c r="B471" s="20" t="s">
        <v>318</v>
      </c>
      <c r="C471" s="20"/>
      <c r="D471" s="21">
        <f>SUM(D472,D474)</f>
        <v>83000000</v>
      </c>
      <c r="E471" s="21">
        <f>SUM(E472,E474)</f>
        <v>-43339700</v>
      </c>
      <c r="F471" s="21">
        <f t="shared" si="8"/>
        <v>39660300</v>
      </c>
    </row>
    <row r="472" spans="1:6" s="18" customFormat="1" ht="30" customHeight="1">
      <c r="A472" s="26" t="s">
        <v>27</v>
      </c>
      <c r="B472" s="20" t="s">
        <v>318</v>
      </c>
      <c r="C472" s="20">
        <v>200</v>
      </c>
      <c r="D472" s="21">
        <f>D473</f>
        <v>45000000</v>
      </c>
      <c r="E472" s="21">
        <f>E473</f>
        <v>-45000000</v>
      </c>
      <c r="F472" s="21">
        <f t="shared" si="8"/>
        <v>0</v>
      </c>
    </row>
    <row r="473" spans="1:6" s="18" customFormat="1" ht="33" customHeight="1">
      <c r="A473" s="26" t="s">
        <v>28</v>
      </c>
      <c r="B473" s="20" t="s">
        <v>318</v>
      </c>
      <c r="C473" s="20">
        <v>240</v>
      </c>
      <c r="D473" s="21">
        <v>45000000</v>
      </c>
      <c r="E473" s="21">
        <f>-6545120-5489685.6-570000-3500000-252155.02-1132420-3852901.2-250000-2400000-21007718.18</f>
        <v>-45000000</v>
      </c>
      <c r="F473" s="21">
        <f t="shared" si="8"/>
        <v>0</v>
      </c>
    </row>
    <row r="474" spans="1:6" s="18" customFormat="1" ht="16.5">
      <c r="A474" s="26" t="s">
        <v>17</v>
      </c>
      <c r="B474" s="20" t="s">
        <v>318</v>
      </c>
      <c r="C474" s="20">
        <v>800</v>
      </c>
      <c r="D474" s="21">
        <f>D475</f>
        <v>38000000</v>
      </c>
      <c r="E474" s="21">
        <f>E475</f>
        <v>1660300</v>
      </c>
      <c r="F474" s="21">
        <f t="shared" si="8"/>
        <v>39660300</v>
      </c>
    </row>
    <row r="475" spans="1:6" s="18" customFormat="1" ht="46.5" customHeight="1">
      <c r="A475" s="23" t="s">
        <v>18</v>
      </c>
      <c r="B475" s="20" t="s">
        <v>318</v>
      </c>
      <c r="C475" s="20">
        <v>810</v>
      </c>
      <c r="D475" s="21">
        <v>38000000</v>
      </c>
      <c r="E475" s="27">
        <f>170000+999900+490400</f>
        <v>1660300</v>
      </c>
      <c r="F475" s="21">
        <f t="shared" si="8"/>
        <v>39660300</v>
      </c>
    </row>
    <row r="476" spans="1:6" s="18" customFormat="1" ht="36.75" customHeight="1">
      <c r="A476" s="23" t="s">
        <v>319</v>
      </c>
      <c r="B476" s="20" t="s">
        <v>320</v>
      </c>
      <c r="C476" s="20"/>
      <c r="D476" s="21">
        <f>D477</f>
        <v>32000000</v>
      </c>
      <c r="E476" s="27">
        <f>E477</f>
        <v>5842500</v>
      </c>
      <c r="F476" s="21">
        <f t="shared" si="8"/>
        <v>37842500</v>
      </c>
    </row>
    <row r="477" spans="1:6" s="18" customFormat="1" ht="16.5">
      <c r="A477" s="26" t="s">
        <v>17</v>
      </c>
      <c r="B477" s="20" t="s">
        <v>320</v>
      </c>
      <c r="C477" s="20">
        <v>800</v>
      </c>
      <c r="D477" s="21">
        <f>D478</f>
        <v>32000000</v>
      </c>
      <c r="E477" s="27">
        <f>E478</f>
        <v>5842500</v>
      </c>
      <c r="F477" s="21">
        <f t="shared" si="8"/>
        <v>37842500</v>
      </c>
    </row>
    <row r="478" spans="1:6" s="18" customFormat="1" ht="45" customHeight="1">
      <c r="A478" s="23" t="s">
        <v>18</v>
      </c>
      <c r="B478" s="20" t="s">
        <v>320</v>
      </c>
      <c r="C478" s="20">
        <v>810</v>
      </c>
      <c r="D478" s="21">
        <v>32000000</v>
      </c>
      <c r="E478" s="27">
        <f>4000000+1842500</f>
        <v>5842500</v>
      </c>
      <c r="F478" s="21">
        <f t="shared" si="8"/>
        <v>37842500</v>
      </c>
    </row>
    <row r="479" spans="1:6" s="18" customFormat="1" ht="30.75" customHeight="1">
      <c r="A479" s="19" t="s">
        <v>321</v>
      </c>
      <c r="B479" s="20" t="s">
        <v>322</v>
      </c>
      <c r="C479" s="20"/>
      <c r="D479" s="21">
        <f>D480</f>
        <v>8000000</v>
      </c>
      <c r="E479" s="27">
        <f>E480</f>
        <v>-650064.5899999999</v>
      </c>
      <c r="F479" s="21">
        <f t="shared" si="8"/>
        <v>7349935.41</v>
      </c>
    </row>
    <row r="480" spans="1:6" s="18" customFormat="1" ht="16.5">
      <c r="A480" s="26" t="s">
        <v>17</v>
      </c>
      <c r="B480" s="20" t="s">
        <v>322</v>
      </c>
      <c r="C480" s="20">
        <v>800</v>
      </c>
      <c r="D480" s="21">
        <f>D481</f>
        <v>8000000</v>
      </c>
      <c r="E480" s="27">
        <f>E481</f>
        <v>-650064.5899999999</v>
      </c>
      <c r="F480" s="21">
        <f t="shared" si="8"/>
        <v>7349935.41</v>
      </c>
    </row>
    <row r="481" spans="1:6" s="22" customFormat="1" ht="63">
      <c r="A481" s="23" t="s">
        <v>18</v>
      </c>
      <c r="B481" s="20" t="s">
        <v>322</v>
      </c>
      <c r="C481" s="20">
        <v>810</v>
      </c>
      <c r="D481" s="21">
        <v>8000000</v>
      </c>
      <c r="E481" s="27">
        <f>-295000-168000-906597.59+719533</f>
        <v>-650064.5899999999</v>
      </c>
      <c r="F481" s="21">
        <f t="shared" si="8"/>
        <v>7349935.41</v>
      </c>
    </row>
    <row r="482" spans="1:6" s="22" customFormat="1" ht="31.5">
      <c r="A482" s="23" t="s">
        <v>323</v>
      </c>
      <c r="B482" s="20" t="s">
        <v>324</v>
      </c>
      <c r="C482" s="20"/>
      <c r="D482" s="21">
        <f>SUM(D483,D486)</f>
        <v>50000000</v>
      </c>
      <c r="E482" s="21">
        <f>SUM(E483,E486)</f>
        <v>9294710.25</v>
      </c>
      <c r="F482" s="21">
        <f t="shared" si="8"/>
        <v>59294710.25</v>
      </c>
    </row>
    <row r="483" spans="1:6" s="22" customFormat="1" ht="31.5">
      <c r="A483" s="23" t="s">
        <v>325</v>
      </c>
      <c r="B483" s="20" t="s">
        <v>326</v>
      </c>
      <c r="C483" s="20"/>
      <c r="D483" s="21">
        <f>D484</f>
        <v>45000000</v>
      </c>
      <c r="E483" s="21">
        <f>E484</f>
        <v>7000000</v>
      </c>
      <c r="F483" s="21">
        <f t="shared" si="8"/>
        <v>52000000</v>
      </c>
    </row>
    <row r="484" spans="1:6" s="22" customFormat="1" ht="15.75">
      <c r="A484" s="26" t="s">
        <v>17</v>
      </c>
      <c r="B484" s="20" t="s">
        <v>326</v>
      </c>
      <c r="C484" s="20">
        <v>800</v>
      </c>
      <c r="D484" s="21">
        <f>D485</f>
        <v>45000000</v>
      </c>
      <c r="E484" s="21">
        <f>E485</f>
        <v>7000000</v>
      </c>
      <c r="F484" s="21">
        <f t="shared" si="8"/>
        <v>52000000</v>
      </c>
    </row>
    <row r="485" spans="1:6" s="22" customFormat="1" ht="63">
      <c r="A485" s="23" t="s">
        <v>18</v>
      </c>
      <c r="B485" s="20" t="s">
        <v>326</v>
      </c>
      <c r="C485" s="20">
        <v>810</v>
      </c>
      <c r="D485" s="21">
        <v>45000000</v>
      </c>
      <c r="E485" s="21">
        <v>7000000</v>
      </c>
      <c r="F485" s="21">
        <f t="shared" si="8"/>
        <v>52000000</v>
      </c>
    </row>
    <row r="486" spans="1:6" s="22" customFormat="1" ht="31.5">
      <c r="A486" s="23" t="s">
        <v>327</v>
      </c>
      <c r="B486" s="20" t="s">
        <v>328</v>
      </c>
      <c r="C486" s="20"/>
      <c r="D486" s="21">
        <f>D487</f>
        <v>5000000</v>
      </c>
      <c r="E486" s="21">
        <f>E487</f>
        <v>2294710.25</v>
      </c>
      <c r="F486" s="21">
        <f t="shared" si="8"/>
        <v>7294710.25</v>
      </c>
    </row>
    <row r="487" spans="1:6" s="22" customFormat="1" ht="31.5">
      <c r="A487" s="23" t="s">
        <v>123</v>
      </c>
      <c r="B487" s="20" t="s">
        <v>328</v>
      </c>
      <c r="C487" s="20">
        <v>400</v>
      </c>
      <c r="D487" s="21">
        <f>D488</f>
        <v>5000000</v>
      </c>
      <c r="E487" s="21">
        <f>E488</f>
        <v>2294710.25</v>
      </c>
      <c r="F487" s="21">
        <f t="shared" si="8"/>
        <v>7294710.25</v>
      </c>
    </row>
    <row r="488" spans="1:6" s="22" customFormat="1" ht="110.25">
      <c r="A488" s="23" t="s">
        <v>308</v>
      </c>
      <c r="B488" s="20" t="s">
        <v>328</v>
      </c>
      <c r="C488" s="20">
        <v>460</v>
      </c>
      <c r="D488" s="21">
        <v>5000000</v>
      </c>
      <c r="E488" s="21">
        <f>2044710.25+250000</f>
        <v>2294710.25</v>
      </c>
      <c r="F488" s="21">
        <f t="shared" si="8"/>
        <v>7294710.25</v>
      </c>
    </row>
    <row r="489" spans="1:6" s="22" customFormat="1" ht="31.5">
      <c r="A489" s="19" t="s">
        <v>329</v>
      </c>
      <c r="B489" s="20" t="s">
        <v>330</v>
      </c>
      <c r="C489" s="20"/>
      <c r="D489" s="21">
        <f>D490+D495+D501+D498</f>
        <v>30000000</v>
      </c>
      <c r="E489" s="21">
        <f>E490+E495+E501+E498</f>
        <v>74461826.6</v>
      </c>
      <c r="F489" s="21">
        <f t="shared" si="8"/>
        <v>104461826.6</v>
      </c>
    </row>
    <row r="490" spans="1:6" s="22" customFormat="1" ht="31.5">
      <c r="A490" s="19" t="s">
        <v>331</v>
      </c>
      <c r="B490" s="20" t="s">
        <v>332</v>
      </c>
      <c r="C490" s="20"/>
      <c r="D490" s="21">
        <f>D493+D491</f>
        <v>28500000</v>
      </c>
      <c r="E490" s="21">
        <f>E493+E491</f>
        <v>11082996.6</v>
      </c>
      <c r="F490" s="21">
        <f t="shared" si="8"/>
        <v>39582996.6</v>
      </c>
    </row>
    <row r="491" spans="1:6" s="22" customFormat="1" ht="31.5">
      <c r="A491" s="26" t="s">
        <v>27</v>
      </c>
      <c r="B491" s="20" t="s">
        <v>332</v>
      </c>
      <c r="C491" s="20">
        <v>200</v>
      </c>
      <c r="D491" s="21">
        <f>D492</f>
        <v>0</v>
      </c>
      <c r="E491" s="21">
        <f>E492</f>
        <v>3105855.6</v>
      </c>
      <c r="F491" s="21">
        <f t="shared" si="8"/>
        <v>3105855.6</v>
      </c>
    </row>
    <row r="492" spans="1:6" s="22" customFormat="1" ht="31.5">
      <c r="A492" s="26" t="s">
        <v>28</v>
      </c>
      <c r="B492" s="20" t="s">
        <v>332</v>
      </c>
      <c r="C492" s="20">
        <v>240</v>
      </c>
      <c r="D492" s="21">
        <v>0</v>
      </c>
      <c r="E492" s="21">
        <f>1467762+177747.6+1460346</f>
        <v>3105855.6</v>
      </c>
      <c r="F492" s="21">
        <f t="shared" si="8"/>
        <v>3105855.6</v>
      </c>
    </row>
    <row r="493" spans="1:6" s="22" customFormat="1" ht="31.5">
      <c r="A493" s="23" t="s">
        <v>14</v>
      </c>
      <c r="B493" s="20" t="s">
        <v>332</v>
      </c>
      <c r="C493" s="20">
        <v>600</v>
      </c>
      <c r="D493" s="21">
        <f>D494</f>
        <v>28500000</v>
      </c>
      <c r="E493" s="21">
        <f>E494</f>
        <v>7977141</v>
      </c>
      <c r="F493" s="21">
        <f t="shared" si="8"/>
        <v>36477141</v>
      </c>
    </row>
    <row r="494" spans="1:6" s="22" customFormat="1" ht="15.75">
      <c r="A494" s="23" t="s">
        <v>61</v>
      </c>
      <c r="B494" s="20" t="s">
        <v>332</v>
      </c>
      <c r="C494" s="20">
        <v>620</v>
      </c>
      <c r="D494" s="21">
        <f>29000000-500000</f>
        <v>28500000</v>
      </c>
      <c r="E494" s="21">
        <f>7500000+168000-500000+300000+509141</f>
        <v>7977141</v>
      </c>
      <c r="F494" s="21">
        <f t="shared" si="8"/>
        <v>36477141</v>
      </c>
    </row>
    <row r="495" spans="1:6" s="22" customFormat="1" ht="31.5">
      <c r="A495" s="19" t="s">
        <v>333</v>
      </c>
      <c r="B495" s="20" t="s">
        <v>334</v>
      </c>
      <c r="C495" s="20"/>
      <c r="D495" s="21">
        <f>D496</f>
        <v>1500000</v>
      </c>
      <c r="E495" s="21">
        <f>E496</f>
        <v>500000</v>
      </c>
      <c r="F495" s="21">
        <f t="shared" si="8"/>
        <v>2000000</v>
      </c>
    </row>
    <row r="496" spans="1:6" s="14" customFormat="1" ht="31.5">
      <c r="A496" s="23" t="s">
        <v>14</v>
      </c>
      <c r="B496" s="20" t="s">
        <v>334</v>
      </c>
      <c r="C496" s="20">
        <v>600</v>
      </c>
      <c r="D496" s="21">
        <f>D497</f>
        <v>1500000</v>
      </c>
      <c r="E496" s="21">
        <f>E497</f>
        <v>500000</v>
      </c>
      <c r="F496" s="21">
        <f t="shared" si="8"/>
        <v>2000000</v>
      </c>
    </row>
    <row r="497" spans="1:6" s="22" customFormat="1" ht="15.75">
      <c r="A497" s="23" t="s">
        <v>61</v>
      </c>
      <c r="B497" s="20" t="s">
        <v>334</v>
      </c>
      <c r="C497" s="20">
        <v>620</v>
      </c>
      <c r="D497" s="21">
        <v>1500000</v>
      </c>
      <c r="E497" s="21">
        <v>500000</v>
      </c>
      <c r="F497" s="21">
        <f t="shared" si="8"/>
        <v>2000000</v>
      </c>
    </row>
    <row r="498" spans="1:6" s="22" customFormat="1" ht="31.5">
      <c r="A498" s="23" t="s">
        <v>335</v>
      </c>
      <c r="B498" s="20" t="s">
        <v>336</v>
      </c>
      <c r="C498" s="20"/>
      <c r="D498" s="21">
        <f>D499</f>
        <v>0</v>
      </c>
      <c r="E498" s="21">
        <f>E499</f>
        <v>22640594.21</v>
      </c>
      <c r="F498" s="21">
        <f t="shared" si="8"/>
        <v>22640594.21</v>
      </c>
    </row>
    <row r="499" spans="1:6" s="22" customFormat="1" ht="31.5">
      <c r="A499" s="26" t="s">
        <v>27</v>
      </c>
      <c r="B499" s="20" t="s">
        <v>336</v>
      </c>
      <c r="C499" s="20">
        <v>200</v>
      </c>
      <c r="D499" s="21">
        <f>D500</f>
        <v>0</v>
      </c>
      <c r="E499" s="21">
        <f>E500</f>
        <v>22640594.21</v>
      </c>
      <c r="F499" s="21">
        <f t="shared" si="8"/>
        <v>22640594.21</v>
      </c>
    </row>
    <row r="500" spans="1:6" s="22" customFormat="1" ht="31.5">
      <c r="A500" s="26" t="s">
        <v>28</v>
      </c>
      <c r="B500" s="20" t="s">
        <v>336</v>
      </c>
      <c r="C500" s="20">
        <v>240</v>
      </c>
      <c r="D500" s="21">
        <v>0</v>
      </c>
      <c r="E500" s="21">
        <f>3500000+1376330+21007718.18-3243453.97</f>
        <v>22640594.21</v>
      </c>
      <c r="F500" s="21">
        <f t="shared" si="8"/>
        <v>22640594.21</v>
      </c>
    </row>
    <row r="501" spans="1:6" s="22" customFormat="1" ht="66" customHeight="1">
      <c r="A501" s="23" t="s">
        <v>337</v>
      </c>
      <c r="B501" s="20" t="s">
        <v>338</v>
      </c>
      <c r="C501" s="20"/>
      <c r="D501" s="21">
        <f>D502</f>
        <v>0</v>
      </c>
      <c r="E501" s="21">
        <f>E502</f>
        <v>40238235.79</v>
      </c>
      <c r="F501" s="21">
        <f t="shared" si="8"/>
        <v>40238235.79</v>
      </c>
    </row>
    <row r="502" spans="1:6" s="22" customFormat="1" ht="31.5">
      <c r="A502" s="26" t="s">
        <v>27</v>
      </c>
      <c r="B502" s="20" t="s">
        <v>338</v>
      </c>
      <c r="C502" s="20">
        <v>200</v>
      </c>
      <c r="D502" s="21">
        <f>D503</f>
        <v>0</v>
      </c>
      <c r="E502" s="21">
        <f>E503</f>
        <v>40238235.79</v>
      </c>
      <c r="F502" s="21">
        <f t="shared" si="8"/>
        <v>40238235.79</v>
      </c>
    </row>
    <row r="503" spans="1:6" s="22" customFormat="1" ht="31.5">
      <c r="A503" s="26" t="s">
        <v>28</v>
      </c>
      <c r="B503" s="20" t="s">
        <v>338</v>
      </c>
      <c r="C503" s="20">
        <v>240</v>
      </c>
      <c r="D503" s="21">
        <v>0</v>
      </c>
      <c r="E503" s="21">
        <v>40238235.79</v>
      </c>
      <c r="F503" s="21">
        <f t="shared" si="8"/>
        <v>40238235.79</v>
      </c>
    </row>
    <row r="504" spans="1:6" s="22" customFormat="1" ht="15.75">
      <c r="A504" s="19" t="s">
        <v>339</v>
      </c>
      <c r="B504" s="20" t="s">
        <v>340</v>
      </c>
      <c r="C504" s="20"/>
      <c r="D504" s="21">
        <f>D505+D512</f>
        <v>58371000</v>
      </c>
      <c r="E504" s="21">
        <f>E505+E512</f>
        <v>13763604.22</v>
      </c>
      <c r="F504" s="21">
        <f t="shared" si="8"/>
        <v>72134604.22</v>
      </c>
    </row>
    <row r="505" spans="1:6" ht="15.75">
      <c r="A505" s="19" t="s">
        <v>341</v>
      </c>
      <c r="B505" s="20" t="s">
        <v>342</v>
      </c>
      <c r="C505" s="20"/>
      <c r="D505" s="21">
        <f>SUM(D506,D508,D510)</f>
        <v>55871000</v>
      </c>
      <c r="E505" s="21">
        <f>SUM(E506,E508,E510)</f>
        <v>13663604.22</v>
      </c>
      <c r="F505" s="21">
        <f t="shared" si="8"/>
        <v>69534604.22</v>
      </c>
    </row>
    <row r="506" spans="1:6" ht="78.75">
      <c r="A506" s="29" t="s">
        <v>80</v>
      </c>
      <c r="B506" s="20" t="s">
        <v>342</v>
      </c>
      <c r="C506" s="20">
        <v>100</v>
      </c>
      <c r="D506" s="21">
        <f>D507</f>
        <v>28300000</v>
      </c>
      <c r="E506" s="21">
        <f>E507</f>
        <v>1454810</v>
      </c>
      <c r="F506" s="21">
        <f t="shared" si="8"/>
        <v>29754810</v>
      </c>
    </row>
    <row r="507" spans="1:6" ht="15.75">
      <c r="A507" s="29" t="s">
        <v>91</v>
      </c>
      <c r="B507" s="20" t="s">
        <v>342</v>
      </c>
      <c r="C507" s="20">
        <v>110</v>
      </c>
      <c r="D507" s="21">
        <v>28300000</v>
      </c>
      <c r="E507" s="21">
        <f>664280+790530</f>
        <v>1454810</v>
      </c>
      <c r="F507" s="21">
        <f t="shared" si="8"/>
        <v>29754810</v>
      </c>
    </row>
    <row r="508" spans="1:6" ht="31.5">
      <c r="A508" s="26" t="s">
        <v>27</v>
      </c>
      <c r="B508" s="20" t="s">
        <v>342</v>
      </c>
      <c r="C508" s="20">
        <v>200</v>
      </c>
      <c r="D508" s="21">
        <f>D509</f>
        <v>27371000</v>
      </c>
      <c r="E508" s="21">
        <f>E509</f>
        <v>12245794.22</v>
      </c>
      <c r="F508" s="21">
        <f t="shared" si="8"/>
        <v>39616794.22</v>
      </c>
    </row>
    <row r="509" spans="1:6" ht="31.5">
      <c r="A509" s="26" t="s">
        <v>28</v>
      </c>
      <c r="B509" s="20" t="s">
        <v>342</v>
      </c>
      <c r="C509" s="20">
        <v>240</v>
      </c>
      <c r="D509" s="21">
        <v>27371000</v>
      </c>
      <c r="E509" s="21">
        <f>9029282-100000+3937000+683467-513424.78-790530</f>
        <v>12245794.22</v>
      </c>
      <c r="F509" s="21">
        <f t="shared" si="8"/>
        <v>39616794.22</v>
      </c>
    </row>
    <row r="510" spans="1:6" ht="15.75">
      <c r="A510" s="26" t="s">
        <v>17</v>
      </c>
      <c r="B510" s="20" t="s">
        <v>342</v>
      </c>
      <c r="C510" s="20">
        <v>800</v>
      </c>
      <c r="D510" s="21">
        <f>D511</f>
        <v>200000</v>
      </c>
      <c r="E510" s="21">
        <f>E511</f>
        <v>-37000</v>
      </c>
      <c r="F510" s="21">
        <f t="shared" si="8"/>
        <v>163000</v>
      </c>
    </row>
    <row r="511" spans="1:6" ht="15.75">
      <c r="A511" s="26" t="s">
        <v>87</v>
      </c>
      <c r="B511" s="20" t="s">
        <v>342</v>
      </c>
      <c r="C511" s="20">
        <v>850</v>
      </c>
      <c r="D511" s="21">
        <v>200000</v>
      </c>
      <c r="E511" s="21">
        <f>-37000</f>
        <v>-37000</v>
      </c>
      <c r="F511" s="21">
        <f t="shared" si="8"/>
        <v>163000</v>
      </c>
    </row>
    <row r="512" spans="1:6" ht="31.5">
      <c r="A512" s="19" t="s">
        <v>343</v>
      </c>
      <c r="B512" s="20" t="s">
        <v>344</v>
      </c>
      <c r="C512" s="20"/>
      <c r="D512" s="21">
        <f>D513</f>
        <v>2500000</v>
      </c>
      <c r="E512" s="21">
        <f>E513</f>
        <v>100000</v>
      </c>
      <c r="F512" s="21">
        <f t="shared" si="8"/>
        <v>2600000</v>
      </c>
    </row>
    <row r="513" spans="1:6" ht="31.5">
      <c r="A513" s="26" t="s">
        <v>27</v>
      </c>
      <c r="B513" s="20" t="s">
        <v>344</v>
      </c>
      <c r="C513" s="20">
        <v>200</v>
      </c>
      <c r="D513" s="21">
        <f>D514</f>
        <v>2500000</v>
      </c>
      <c r="E513" s="21">
        <f>E514</f>
        <v>100000</v>
      </c>
      <c r="F513" s="21">
        <f t="shared" si="8"/>
        <v>2600000</v>
      </c>
    </row>
    <row r="514" spans="1:6" ht="31.5">
      <c r="A514" s="26" t="s">
        <v>28</v>
      </c>
      <c r="B514" s="20" t="s">
        <v>344</v>
      </c>
      <c r="C514" s="20">
        <v>240</v>
      </c>
      <c r="D514" s="24">
        <v>2500000</v>
      </c>
      <c r="E514" s="24">
        <v>100000</v>
      </c>
      <c r="F514" s="21">
        <f t="shared" si="8"/>
        <v>2600000</v>
      </c>
    </row>
    <row r="515" spans="1:6" ht="47.25">
      <c r="A515" s="44" t="s">
        <v>345</v>
      </c>
      <c r="B515" s="16" t="s">
        <v>346</v>
      </c>
      <c r="C515" s="16"/>
      <c r="D515" s="45">
        <f>D519+D525+D528+D531+D534+D516+D522</f>
        <v>131832935.28999999</v>
      </c>
      <c r="E515" s="45">
        <f>E519+E525+E528+E531+E534+E516+E522</f>
        <v>-82931567.25</v>
      </c>
      <c r="F515" s="17">
        <f t="shared" si="8"/>
        <v>48901368.03999999</v>
      </c>
    </row>
    <row r="516" spans="1:6" ht="15.75">
      <c r="A516" s="23" t="s">
        <v>347</v>
      </c>
      <c r="B516" s="20" t="s">
        <v>348</v>
      </c>
      <c r="C516" s="20"/>
      <c r="D516" s="27">
        <f>D517</f>
        <v>0</v>
      </c>
      <c r="E516" s="27">
        <f>E517</f>
        <v>1750639.21</v>
      </c>
      <c r="F516" s="46">
        <f t="shared" si="8"/>
        <v>1750639.21</v>
      </c>
    </row>
    <row r="517" spans="1:6" ht="31.5">
      <c r="A517" s="23" t="s">
        <v>123</v>
      </c>
      <c r="B517" s="20" t="s">
        <v>348</v>
      </c>
      <c r="C517" s="20">
        <v>400</v>
      </c>
      <c r="D517" s="27">
        <f>D518</f>
        <v>0</v>
      </c>
      <c r="E517" s="27">
        <f>E518</f>
        <v>1750639.21</v>
      </c>
      <c r="F517" s="46">
        <f t="shared" si="8"/>
        <v>1750639.21</v>
      </c>
    </row>
    <row r="518" spans="1:6" ht="15.75">
      <c r="A518" s="39" t="s">
        <v>124</v>
      </c>
      <c r="B518" s="20" t="s">
        <v>348</v>
      </c>
      <c r="C518" s="20">
        <v>410</v>
      </c>
      <c r="D518" s="27"/>
      <c r="E518" s="27">
        <f>1711776+38863.21</f>
        <v>1750639.21</v>
      </c>
      <c r="F518" s="46">
        <f t="shared" si="8"/>
        <v>1750639.21</v>
      </c>
    </row>
    <row r="519" spans="1:6" ht="78.75">
      <c r="A519" s="23" t="s">
        <v>349</v>
      </c>
      <c r="B519" s="20" t="s">
        <v>350</v>
      </c>
      <c r="C519" s="20"/>
      <c r="D519" s="21">
        <f>D520</f>
        <v>40238235.29</v>
      </c>
      <c r="E519" s="21">
        <f>E520</f>
        <v>-40238235.29</v>
      </c>
      <c r="F519" s="21">
        <f t="shared" si="8"/>
        <v>0</v>
      </c>
    </row>
    <row r="520" spans="1:6" ht="31.5">
      <c r="A520" s="23" t="s">
        <v>123</v>
      </c>
      <c r="B520" s="20" t="s">
        <v>350</v>
      </c>
      <c r="C520" s="20">
        <v>400</v>
      </c>
      <c r="D520" s="21">
        <f>D521</f>
        <v>40238235.29</v>
      </c>
      <c r="E520" s="21">
        <f>E521</f>
        <v>-40238235.29</v>
      </c>
      <c r="F520" s="21">
        <f aca="true" t="shared" si="9" ref="F520:F583">SUM(D520:E520)</f>
        <v>0</v>
      </c>
    </row>
    <row r="521" spans="1:6" ht="15.75">
      <c r="A521" s="39" t="s">
        <v>124</v>
      </c>
      <c r="B521" s="20" t="s">
        <v>350</v>
      </c>
      <c r="C521" s="20">
        <v>410</v>
      </c>
      <c r="D521" s="21">
        <f>2011911.29+38226324</f>
        <v>40238235.29</v>
      </c>
      <c r="E521" s="21">
        <f>0.5-40238235.79</f>
        <v>-40238235.29</v>
      </c>
      <c r="F521" s="21">
        <f t="shared" si="9"/>
        <v>0</v>
      </c>
    </row>
    <row r="522" spans="1:6" ht="47.25">
      <c r="A522" s="39" t="s">
        <v>351</v>
      </c>
      <c r="B522" s="20" t="s">
        <v>352</v>
      </c>
      <c r="C522" s="47"/>
      <c r="D522" s="21">
        <f>D523</f>
        <v>0</v>
      </c>
      <c r="E522" s="21">
        <f>E523</f>
        <v>329825.62</v>
      </c>
      <c r="F522" s="21">
        <f t="shared" si="9"/>
        <v>329825.62</v>
      </c>
    </row>
    <row r="523" spans="1:6" ht="31.5">
      <c r="A523" s="23" t="s">
        <v>123</v>
      </c>
      <c r="B523" s="20" t="s">
        <v>352</v>
      </c>
      <c r="C523" s="47">
        <v>400</v>
      </c>
      <c r="D523" s="21">
        <f>D524</f>
        <v>0</v>
      </c>
      <c r="E523" s="21">
        <f>E524</f>
        <v>329825.62</v>
      </c>
      <c r="F523" s="21">
        <f t="shared" si="9"/>
        <v>329825.62</v>
      </c>
    </row>
    <row r="524" spans="1:6" ht="110.25">
      <c r="A524" s="23" t="s">
        <v>308</v>
      </c>
      <c r="B524" s="20" t="s">
        <v>352</v>
      </c>
      <c r="C524" s="47">
        <v>460</v>
      </c>
      <c r="D524" s="21">
        <v>0</v>
      </c>
      <c r="E524" s="21">
        <f>225992+103833.62</f>
        <v>329825.62</v>
      </c>
      <c r="F524" s="21">
        <f t="shared" si="9"/>
        <v>329825.62</v>
      </c>
    </row>
    <row r="525" spans="1:6" ht="31.5">
      <c r="A525" s="23" t="s">
        <v>353</v>
      </c>
      <c r="B525" s="20" t="s">
        <v>354</v>
      </c>
      <c r="C525" s="47"/>
      <c r="D525" s="21">
        <f>D526</f>
        <v>38000000</v>
      </c>
      <c r="E525" s="21">
        <f>E526</f>
        <v>0</v>
      </c>
      <c r="F525" s="21">
        <f t="shared" si="9"/>
        <v>38000000</v>
      </c>
    </row>
    <row r="526" spans="1:6" ht="31.5">
      <c r="A526" s="23" t="s">
        <v>123</v>
      </c>
      <c r="B526" s="20" t="s">
        <v>354</v>
      </c>
      <c r="C526" s="47">
        <v>400</v>
      </c>
      <c r="D526" s="21">
        <f>D527</f>
        <v>38000000</v>
      </c>
      <c r="E526" s="21">
        <f>E527</f>
        <v>0</v>
      </c>
      <c r="F526" s="21">
        <f t="shared" si="9"/>
        <v>38000000</v>
      </c>
    </row>
    <row r="527" spans="1:6" ht="110.25">
      <c r="A527" s="23" t="s">
        <v>308</v>
      </c>
      <c r="B527" s="20" t="s">
        <v>354</v>
      </c>
      <c r="C527" s="47">
        <v>460</v>
      </c>
      <c r="D527" s="21">
        <v>38000000</v>
      </c>
      <c r="E527" s="21">
        <v>0</v>
      </c>
      <c r="F527" s="21">
        <f t="shared" si="9"/>
        <v>38000000</v>
      </c>
    </row>
    <row r="528" spans="1:6" ht="31.5">
      <c r="A528" s="23" t="s">
        <v>355</v>
      </c>
      <c r="B528" s="20" t="s">
        <v>356</v>
      </c>
      <c r="C528" s="47"/>
      <c r="D528" s="21">
        <f>D529</f>
        <v>24076700</v>
      </c>
      <c r="E528" s="21">
        <f>E529</f>
        <v>-15989216.79</v>
      </c>
      <c r="F528" s="21">
        <f t="shared" si="9"/>
        <v>8087483.210000001</v>
      </c>
    </row>
    <row r="529" spans="1:6" ht="31.5">
      <c r="A529" s="23" t="s">
        <v>123</v>
      </c>
      <c r="B529" s="20" t="s">
        <v>356</v>
      </c>
      <c r="C529" s="47">
        <v>400</v>
      </c>
      <c r="D529" s="21">
        <f>D530</f>
        <v>24076700</v>
      </c>
      <c r="E529" s="21">
        <f>E530</f>
        <v>-15989216.79</v>
      </c>
      <c r="F529" s="21">
        <f t="shared" si="9"/>
        <v>8087483.210000001</v>
      </c>
    </row>
    <row r="530" spans="1:6" ht="110.25">
      <c r="A530" s="23" t="s">
        <v>308</v>
      </c>
      <c r="B530" s="20" t="s">
        <v>356</v>
      </c>
      <c r="C530" s="47">
        <v>460</v>
      </c>
      <c r="D530" s="21">
        <f>16876700+7200000</f>
        <v>24076700</v>
      </c>
      <c r="E530" s="21">
        <f>-14000000-989316.79-999900</f>
        <v>-15989216.79</v>
      </c>
      <c r="F530" s="21">
        <f t="shared" si="9"/>
        <v>8087483.210000001</v>
      </c>
    </row>
    <row r="531" spans="1:6" ht="31.5">
      <c r="A531" s="23" t="s">
        <v>357</v>
      </c>
      <c r="B531" s="20" t="s">
        <v>358</v>
      </c>
      <c r="C531" s="20"/>
      <c r="D531" s="21">
        <f>D532</f>
        <v>29000000</v>
      </c>
      <c r="E531" s="21">
        <f>E532</f>
        <v>-29000000</v>
      </c>
      <c r="F531" s="21">
        <f t="shared" si="9"/>
        <v>0</v>
      </c>
    </row>
    <row r="532" spans="1:6" ht="31.5">
      <c r="A532" s="23" t="s">
        <v>123</v>
      </c>
      <c r="B532" s="20" t="s">
        <v>358</v>
      </c>
      <c r="C532" s="47">
        <v>400</v>
      </c>
      <c r="D532" s="21">
        <f>D533</f>
        <v>29000000</v>
      </c>
      <c r="E532" s="21">
        <f>E533</f>
        <v>-29000000</v>
      </c>
      <c r="F532" s="21">
        <f t="shared" si="9"/>
        <v>0</v>
      </c>
    </row>
    <row r="533" spans="1:6" ht="15.75">
      <c r="A533" s="23" t="s">
        <v>124</v>
      </c>
      <c r="B533" s="20" t="s">
        <v>358</v>
      </c>
      <c r="C533" s="47">
        <v>410</v>
      </c>
      <c r="D533" s="21">
        <v>29000000</v>
      </c>
      <c r="E533" s="21">
        <f>-17619903.89-9029282-2350814.11</f>
        <v>-29000000</v>
      </c>
      <c r="F533" s="21">
        <f t="shared" si="9"/>
        <v>0</v>
      </c>
    </row>
    <row r="534" spans="1:6" ht="31.5">
      <c r="A534" s="26" t="s">
        <v>359</v>
      </c>
      <c r="B534" s="20" t="s">
        <v>360</v>
      </c>
      <c r="C534" s="20"/>
      <c r="D534" s="24">
        <f>D535</f>
        <v>518000</v>
      </c>
      <c r="E534" s="24">
        <f>E535</f>
        <v>215420</v>
      </c>
      <c r="F534" s="21">
        <f t="shared" si="9"/>
        <v>733420</v>
      </c>
    </row>
    <row r="535" spans="1:6" ht="31.5">
      <c r="A535" s="26" t="s">
        <v>14</v>
      </c>
      <c r="B535" s="20" t="s">
        <v>360</v>
      </c>
      <c r="C535" s="20">
        <v>600</v>
      </c>
      <c r="D535" s="24">
        <f>D536</f>
        <v>518000</v>
      </c>
      <c r="E535" s="24">
        <f>E536</f>
        <v>215420</v>
      </c>
      <c r="F535" s="21">
        <f t="shared" si="9"/>
        <v>733420</v>
      </c>
    </row>
    <row r="536" spans="1:6" ht="15.75">
      <c r="A536" s="26" t="s">
        <v>15</v>
      </c>
      <c r="B536" s="20" t="s">
        <v>360</v>
      </c>
      <c r="C536" s="20">
        <v>610</v>
      </c>
      <c r="D536" s="24">
        <v>518000</v>
      </c>
      <c r="E536" s="24">
        <v>215420</v>
      </c>
      <c r="F536" s="21">
        <f t="shared" si="9"/>
        <v>733420</v>
      </c>
    </row>
    <row r="537" spans="1:6" ht="47.25">
      <c r="A537" s="15" t="s">
        <v>361</v>
      </c>
      <c r="B537" s="16" t="s">
        <v>362</v>
      </c>
      <c r="C537" s="16"/>
      <c r="D537" s="17">
        <f>D538+D549</f>
        <v>42435000</v>
      </c>
      <c r="E537" s="17">
        <f>E538+E549</f>
        <v>-5252675.94</v>
      </c>
      <c r="F537" s="17">
        <f t="shared" si="9"/>
        <v>37182324.06</v>
      </c>
    </row>
    <row r="538" spans="1:6" ht="31.5">
      <c r="A538" s="19" t="s">
        <v>363</v>
      </c>
      <c r="B538" s="20" t="s">
        <v>364</v>
      </c>
      <c r="C538" s="20"/>
      <c r="D538" s="24">
        <f>D539+D546</f>
        <v>34135000</v>
      </c>
      <c r="E538" s="24">
        <f>E539+E546</f>
        <v>0</v>
      </c>
      <c r="F538" s="21">
        <f t="shared" si="9"/>
        <v>34135000</v>
      </c>
    </row>
    <row r="539" spans="1:6" ht="63">
      <c r="A539" s="19" t="s">
        <v>365</v>
      </c>
      <c r="B539" s="20" t="s">
        <v>366</v>
      </c>
      <c r="C539" s="20"/>
      <c r="D539" s="24">
        <f>SUM(D540,D542,D544)</f>
        <v>33285000</v>
      </c>
      <c r="E539" s="24">
        <f>SUM(E540,E542,E544)</f>
        <v>0</v>
      </c>
      <c r="F539" s="21">
        <f t="shared" si="9"/>
        <v>33285000</v>
      </c>
    </row>
    <row r="540" spans="1:6" ht="78.75">
      <c r="A540" s="29" t="s">
        <v>80</v>
      </c>
      <c r="B540" s="20" t="s">
        <v>366</v>
      </c>
      <c r="C540" s="20">
        <v>100</v>
      </c>
      <c r="D540" s="24">
        <f>D541</f>
        <v>29030000</v>
      </c>
      <c r="E540" s="24">
        <f>E541</f>
        <v>0</v>
      </c>
      <c r="F540" s="21">
        <f t="shared" si="9"/>
        <v>29030000</v>
      </c>
    </row>
    <row r="541" spans="1:6" ht="15.75">
      <c r="A541" s="29" t="s">
        <v>91</v>
      </c>
      <c r="B541" s="20" t="s">
        <v>366</v>
      </c>
      <c r="C541" s="20">
        <v>110</v>
      </c>
      <c r="D541" s="24">
        <v>29030000</v>
      </c>
      <c r="E541" s="24">
        <v>0</v>
      </c>
      <c r="F541" s="21">
        <f t="shared" si="9"/>
        <v>29030000</v>
      </c>
    </row>
    <row r="542" spans="1:6" ht="31.5">
      <c r="A542" s="26" t="s">
        <v>27</v>
      </c>
      <c r="B542" s="20" t="s">
        <v>366</v>
      </c>
      <c r="C542" s="20">
        <v>200</v>
      </c>
      <c r="D542" s="24">
        <f>D543</f>
        <v>4200000</v>
      </c>
      <c r="E542" s="24">
        <f>E543</f>
        <v>0</v>
      </c>
      <c r="F542" s="21">
        <f t="shared" si="9"/>
        <v>4200000</v>
      </c>
    </row>
    <row r="543" spans="1:6" ht="31.5">
      <c r="A543" s="26" t="s">
        <v>28</v>
      </c>
      <c r="B543" s="20" t="s">
        <v>366</v>
      </c>
      <c r="C543" s="20">
        <v>240</v>
      </c>
      <c r="D543" s="24">
        <v>4200000</v>
      </c>
      <c r="E543" s="24">
        <v>0</v>
      </c>
      <c r="F543" s="21">
        <f t="shared" si="9"/>
        <v>4200000</v>
      </c>
    </row>
    <row r="544" spans="1:6" ht="15.75">
      <c r="A544" s="26" t="s">
        <v>17</v>
      </c>
      <c r="B544" s="20" t="s">
        <v>366</v>
      </c>
      <c r="C544" s="20">
        <v>800</v>
      </c>
      <c r="D544" s="24">
        <f>D545</f>
        <v>55000</v>
      </c>
      <c r="E544" s="24">
        <f>E545</f>
        <v>0</v>
      </c>
      <c r="F544" s="21">
        <f t="shared" si="9"/>
        <v>55000</v>
      </c>
    </row>
    <row r="545" spans="1:6" ht="15.75">
      <c r="A545" s="26" t="s">
        <v>87</v>
      </c>
      <c r="B545" s="20" t="s">
        <v>366</v>
      </c>
      <c r="C545" s="20">
        <v>850</v>
      </c>
      <c r="D545" s="24">
        <v>55000</v>
      </c>
      <c r="E545" s="24">
        <v>0</v>
      </c>
      <c r="F545" s="21">
        <f t="shared" si="9"/>
        <v>55000</v>
      </c>
    </row>
    <row r="546" spans="1:6" ht="31.5">
      <c r="A546" s="19" t="s">
        <v>367</v>
      </c>
      <c r="B546" s="20" t="s">
        <v>368</v>
      </c>
      <c r="C546" s="20"/>
      <c r="D546" s="24">
        <f>D547</f>
        <v>850000</v>
      </c>
      <c r="E546" s="24">
        <f>E547</f>
        <v>0</v>
      </c>
      <c r="F546" s="21">
        <f t="shared" si="9"/>
        <v>850000</v>
      </c>
    </row>
    <row r="547" spans="1:6" ht="31.5">
      <c r="A547" s="26" t="s">
        <v>27</v>
      </c>
      <c r="B547" s="20" t="s">
        <v>368</v>
      </c>
      <c r="C547" s="20">
        <v>200</v>
      </c>
      <c r="D547" s="24">
        <f>D548</f>
        <v>850000</v>
      </c>
      <c r="E547" s="24">
        <f>E548</f>
        <v>0</v>
      </c>
      <c r="F547" s="21">
        <f t="shared" si="9"/>
        <v>850000</v>
      </c>
    </row>
    <row r="548" spans="1:6" ht="31.5">
      <c r="A548" s="26" t="s">
        <v>28</v>
      </c>
      <c r="B548" s="20" t="s">
        <v>368</v>
      </c>
      <c r="C548" s="20">
        <v>240</v>
      </c>
      <c r="D548" s="24">
        <v>850000</v>
      </c>
      <c r="E548" s="24">
        <v>0</v>
      </c>
      <c r="F548" s="21">
        <f t="shared" si="9"/>
        <v>850000</v>
      </c>
    </row>
    <row r="549" spans="1:6" ht="47.25">
      <c r="A549" s="19" t="s">
        <v>369</v>
      </c>
      <c r="B549" s="20" t="s">
        <v>370</v>
      </c>
      <c r="C549" s="20"/>
      <c r="D549" s="21">
        <f>D550+D553+D556+D559+D562</f>
        <v>8300000</v>
      </c>
      <c r="E549" s="21">
        <f>E550+E553+E556+E559+E562</f>
        <v>-5252675.94</v>
      </c>
      <c r="F549" s="21">
        <f t="shared" si="9"/>
        <v>3047324.0599999996</v>
      </c>
    </row>
    <row r="550" spans="1:6" ht="31.5">
      <c r="A550" s="19" t="s">
        <v>371</v>
      </c>
      <c r="B550" s="20" t="s">
        <v>372</v>
      </c>
      <c r="C550" s="20"/>
      <c r="D550" s="21">
        <f>D551</f>
        <v>800000</v>
      </c>
      <c r="E550" s="21">
        <f>E551</f>
        <v>0</v>
      </c>
      <c r="F550" s="21">
        <f t="shared" si="9"/>
        <v>800000</v>
      </c>
    </row>
    <row r="551" spans="1:6" ht="31.5">
      <c r="A551" s="23" t="s">
        <v>14</v>
      </c>
      <c r="B551" s="20" t="s">
        <v>372</v>
      </c>
      <c r="C551" s="20">
        <v>600</v>
      </c>
      <c r="D551" s="21">
        <f>D552</f>
        <v>800000</v>
      </c>
      <c r="E551" s="21">
        <f>E552</f>
        <v>0</v>
      </c>
      <c r="F551" s="21">
        <f t="shared" si="9"/>
        <v>800000</v>
      </c>
    </row>
    <row r="552" spans="1:6" ht="15.75">
      <c r="A552" s="23" t="s">
        <v>15</v>
      </c>
      <c r="B552" s="20" t="s">
        <v>372</v>
      </c>
      <c r="C552" s="20">
        <v>610</v>
      </c>
      <c r="D552" s="24">
        <v>800000</v>
      </c>
      <c r="E552" s="24">
        <v>0</v>
      </c>
      <c r="F552" s="21">
        <f t="shared" si="9"/>
        <v>800000</v>
      </c>
    </row>
    <row r="553" spans="1:6" ht="31.5">
      <c r="A553" s="19" t="s">
        <v>373</v>
      </c>
      <c r="B553" s="20" t="s">
        <v>374</v>
      </c>
      <c r="C553" s="20"/>
      <c r="D553" s="21">
        <f>D554</f>
        <v>6200000</v>
      </c>
      <c r="E553" s="21">
        <f>E554</f>
        <v>-5252675.94</v>
      </c>
      <c r="F553" s="21">
        <f t="shared" si="9"/>
        <v>947324.0599999996</v>
      </c>
    </row>
    <row r="554" spans="1:6" ht="31.5">
      <c r="A554" s="26" t="s">
        <v>27</v>
      </c>
      <c r="B554" s="20" t="s">
        <v>374</v>
      </c>
      <c r="C554" s="20">
        <v>200</v>
      </c>
      <c r="D554" s="21">
        <f>D555</f>
        <v>6200000</v>
      </c>
      <c r="E554" s="21">
        <f>E555</f>
        <v>-5252675.94</v>
      </c>
      <c r="F554" s="21">
        <f t="shared" si="9"/>
        <v>947324.0599999996</v>
      </c>
    </row>
    <row r="555" spans="1:6" ht="31.5">
      <c r="A555" s="26" t="s">
        <v>28</v>
      </c>
      <c r="B555" s="20" t="s">
        <v>374</v>
      </c>
      <c r="C555" s="20">
        <v>240</v>
      </c>
      <c r="D555" s="21">
        <f>1200000+5000000</f>
        <v>6200000</v>
      </c>
      <c r="E555" s="21">
        <v>-5252675.94</v>
      </c>
      <c r="F555" s="21">
        <f t="shared" si="9"/>
        <v>947324.0599999996</v>
      </c>
    </row>
    <row r="556" spans="1:6" ht="31.5">
      <c r="A556" s="19" t="s">
        <v>375</v>
      </c>
      <c r="B556" s="20" t="s">
        <v>376</v>
      </c>
      <c r="C556" s="20"/>
      <c r="D556" s="21">
        <f>D557</f>
        <v>250000</v>
      </c>
      <c r="E556" s="21">
        <f>E557</f>
        <v>0</v>
      </c>
      <c r="F556" s="21">
        <f t="shared" si="9"/>
        <v>250000</v>
      </c>
    </row>
    <row r="557" spans="1:6" ht="31.5">
      <c r="A557" s="26" t="s">
        <v>14</v>
      </c>
      <c r="B557" s="20" t="s">
        <v>376</v>
      </c>
      <c r="C557" s="20">
        <v>600</v>
      </c>
      <c r="D557" s="21">
        <f>D558</f>
        <v>250000</v>
      </c>
      <c r="E557" s="21">
        <f>E558</f>
        <v>0</v>
      </c>
      <c r="F557" s="21">
        <f t="shared" si="9"/>
        <v>250000</v>
      </c>
    </row>
    <row r="558" spans="1:6" ht="47.25">
      <c r="A558" s="23" t="s">
        <v>16</v>
      </c>
      <c r="B558" s="20" t="s">
        <v>376</v>
      </c>
      <c r="C558" s="20">
        <v>630</v>
      </c>
      <c r="D558" s="21">
        <v>250000</v>
      </c>
      <c r="E558" s="21">
        <v>0</v>
      </c>
      <c r="F558" s="21">
        <f t="shared" si="9"/>
        <v>250000</v>
      </c>
    </row>
    <row r="559" spans="1:6" ht="31.5">
      <c r="A559" s="19" t="s">
        <v>377</v>
      </c>
      <c r="B559" s="20" t="s">
        <v>378</v>
      </c>
      <c r="C559" s="20"/>
      <c r="D559" s="21">
        <f>D560</f>
        <v>150000</v>
      </c>
      <c r="E559" s="21">
        <f>E560</f>
        <v>0</v>
      </c>
      <c r="F559" s="21">
        <f t="shared" si="9"/>
        <v>150000</v>
      </c>
    </row>
    <row r="560" spans="1:6" ht="31.5">
      <c r="A560" s="23" t="s">
        <v>14</v>
      </c>
      <c r="B560" s="20" t="s">
        <v>378</v>
      </c>
      <c r="C560" s="20">
        <v>600</v>
      </c>
      <c r="D560" s="21">
        <f>D561</f>
        <v>150000</v>
      </c>
      <c r="E560" s="21">
        <f>E561</f>
        <v>0</v>
      </c>
      <c r="F560" s="21">
        <f t="shared" si="9"/>
        <v>150000</v>
      </c>
    </row>
    <row r="561" spans="1:6" ht="15.75">
      <c r="A561" s="23" t="s">
        <v>15</v>
      </c>
      <c r="B561" s="20" t="s">
        <v>378</v>
      </c>
      <c r="C561" s="20">
        <v>610</v>
      </c>
      <c r="D561" s="21">
        <v>150000</v>
      </c>
      <c r="E561" s="21">
        <v>0</v>
      </c>
      <c r="F561" s="21">
        <f t="shared" si="9"/>
        <v>150000</v>
      </c>
    </row>
    <row r="562" spans="1:6" ht="47.25">
      <c r="A562" s="19" t="s">
        <v>379</v>
      </c>
      <c r="B562" s="20" t="s">
        <v>380</v>
      </c>
      <c r="C562" s="20"/>
      <c r="D562" s="21">
        <f>D563</f>
        <v>900000</v>
      </c>
      <c r="E562" s="21">
        <f>E563</f>
        <v>0</v>
      </c>
      <c r="F562" s="21">
        <f t="shared" si="9"/>
        <v>900000</v>
      </c>
    </row>
    <row r="563" spans="1:6" ht="31.5">
      <c r="A563" s="26" t="s">
        <v>14</v>
      </c>
      <c r="B563" s="20" t="s">
        <v>380</v>
      </c>
      <c r="C563" s="20">
        <v>600</v>
      </c>
      <c r="D563" s="21">
        <f>D564</f>
        <v>900000</v>
      </c>
      <c r="E563" s="21">
        <f>E564</f>
        <v>0</v>
      </c>
      <c r="F563" s="21">
        <f t="shared" si="9"/>
        <v>900000</v>
      </c>
    </row>
    <row r="564" spans="1:6" ht="47.25">
      <c r="A564" s="23" t="s">
        <v>16</v>
      </c>
      <c r="B564" s="20" t="s">
        <v>380</v>
      </c>
      <c r="C564" s="20">
        <v>630</v>
      </c>
      <c r="D564" s="21">
        <v>900000</v>
      </c>
      <c r="E564" s="21">
        <v>0</v>
      </c>
      <c r="F564" s="21">
        <f t="shared" si="9"/>
        <v>900000</v>
      </c>
    </row>
    <row r="565" spans="1:6" ht="47.25">
      <c r="A565" s="15" t="s">
        <v>381</v>
      </c>
      <c r="B565" s="16" t="s">
        <v>382</v>
      </c>
      <c r="C565" s="16"/>
      <c r="D565" s="17">
        <f>SUM(D566,D579)</f>
        <v>21887422.14</v>
      </c>
      <c r="E565" s="17">
        <f>SUM(E566,E579)</f>
        <v>10225164.25</v>
      </c>
      <c r="F565" s="17">
        <f t="shared" si="9"/>
        <v>32112586.39</v>
      </c>
    </row>
    <row r="566" spans="1:6" ht="31.5">
      <c r="A566" s="23" t="s">
        <v>383</v>
      </c>
      <c r="B566" s="20" t="s">
        <v>384</v>
      </c>
      <c r="C566" s="20"/>
      <c r="D566" s="21">
        <f>SUM(D567,D570,D573,D576)</f>
        <v>3487422.14</v>
      </c>
      <c r="E566" s="21">
        <f>SUM(E567,E570,E573,E576)</f>
        <v>-489955.75</v>
      </c>
      <c r="F566" s="21">
        <f t="shared" si="9"/>
        <v>2997466.39</v>
      </c>
    </row>
    <row r="567" spans="1:6" ht="78.75">
      <c r="A567" s="23" t="s">
        <v>385</v>
      </c>
      <c r="B567" s="20" t="s">
        <v>386</v>
      </c>
      <c r="C567" s="20"/>
      <c r="D567" s="21">
        <f>D568</f>
        <v>300000</v>
      </c>
      <c r="E567" s="21">
        <f>E568</f>
        <v>-300000</v>
      </c>
      <c r="F567" s="21">
        <f t="shared" si="9"/>
        <v>0</v>
      </c>
    </row>
    <row r="568" spans="1:6" ht="15.75">
      <c r="A568" s="23" t="s">
        <v>17</v>
      </c>
      <c r="B568" s="20" t="s">
        <v>386</v>
      </c>
      <c r="C568" s="20">
        <v>800</v>
      </c>
      <c r="D568" s="21">
        <f>D569</f>
        <v>300000</v>
      </c>
      <c r="E568" s="21">
        <f>E569</f>
        <v>-300000</v>
      </c>
      <c r="F568" s="21">
        <f t="shared" si="9"/>
        <v>0</v>
      </c>
    </row>
    <row r="569" spans="1:6" ht="63">
      <c r="A569" s="23" t="s">
        <v>18</v>
      </c>
      <c r="B569" s="20" t="s">
        <v>386</v>
      </c>
      <c r="C569" s="20">
        <v>810</v>
      </c>
      <c r="D569" s="21">
        <v>300000</v>
      </c>
      <c r="E569" s="21">
        <v>-300000</v>
      </c>
      <c r="F569" s="21">
        <f t="shared" si="9"/>
        <v>0</v>
      </c>
    </row>
    <row r="570" spans="1:6" ht="31.5">
      <c r="A570" s="23" t="s">
        <v>387</v>
      </c>
      <c r="B570" s="20" t="s">
        <v>388</v>
      </c>
      <c r="C570" s="20"/>
      <c r="D570" s="21">
        <f>D571</f>
        <v>1800000</v>
      </c>
      <c r="E570" s="21">
        <f>E571</f>
        <v>-402533.61</v>
      </c>
      <c r="F570" s="21">
        <f t="shared" si="9"/>
        <v>1397466.3900000001</v>
      </c>
    </row>
    <row r="571" spans="1:6" ht="15.75">
      <c r="A571" s="23" t="s">
        <v>17</v>
      </c>
      <c r="B571" s="20" t="s">
        <v>388</v>
      </c>
      <c r="C571" s="20">
        <v>800</v>
      </c>
      <c r="D571" s="21">
        <f>D572</f>
        <v>1800000</v>
      </c>
      <c r="E571" s="21">
        <f>E572</f>
        <v>-402533.61</v>
      </c>
      <c r="F571" s="21">
        <f t="shared" si="9"/>
        <v>1397466.3900000001</v>
      </c>
    </row>
    <row r="572" spans="1:6" ht="63">
      <c r="A572" s="23" t="s">
        <v>18</v>
      </c>
      <c r="B572" s="20" t="s">
        <v>388</v>
      </c>
      <c r="C572" s="20">
        <v>810</v>
      </c>
      <c r="D572" s="21">
        <f>800000+1000000</f>
        <v>1800000</v>
      </c>
      <c r="E572" s="21">
        <f>-200000-202533.61</f>
        <v>-402533.61</v>
      </c>
      <c r="F572" s="21">
        <f t="shared" si="9"/>
        <v>1397466.3900000001</v>
      </c>
    </row>
    <row r="573" spans="1:6" ht="63">
      <c r="A573" s="23" t="s">
        <v>389</v>
      </c>
      <c r="B573" s="20" t="s">
        <v>390</v>
      </c>
      <c r="C573" s="20"/>
      <c r="D573" s="21">
        <f>D574</f>
        <v>1287422.1400000001</v>
      </c>
      <c r="E573" s="21">
        <f>E574</f>
        <v>312577.86</v>
      </c>
      <c r="F573" s="21">
        <f t="shared" si="9"/>
        <v>1600000</v>
      </c>
    </row>
    <row r="574" spans="1:6" ht="15.75">
      <c r="A574" s="23" t="s">
        <v>17</v>
      </c>
      <c r="B574" s="20" t="s">
        <v>390</v>
      </c>
      <c r="C574" s="20">
        <v>800</v>
      </c>
      <c r="D574" s="21">
        <f>D575</f>
        <v>1287422.1400000001</v>
      </c>
      <c r="E574" s="21">
        <f>E575</f>
        <v>312577.86</v>
      </c>
      <c r="F574" s="21">
        <f t="shared" si="9"/>
        <v>1600000</v>
      </c>
    </row>
    <row r="575" spans="1:6" ht="63">
      <c r="A575" s="23" t="s">
        <v>18</v>
      </c>
      <c r="B575" s="20" t="s">
        <v>390</v>
      </c>
      <c r="C575" s="20">
        <v>810</v>
      </c>
      <c r="D575" s="21">
        <f>600000+687422.14</f>
        <v>1287422.1400000001</v>
      </c>
      <c r="E575" s="21">
        <f>139563.49-29519.24+202533.61</f>
        <v>312577.86</v>
      </c>
      <c r="F575" s="21">
        <f t="shared" si="9"/>
        <v>1600000</v>
      </c>
    </row>
    <row r="576" spans="1:6" ht="47.25">
      <c r="A576" s="23" t="s">
        <v>391</v>
      </c>
      <c r="B576" s="20" t="s">
        <v>392</v>
      </c>
      <c r="C576" s="20"/>
      <c r="D576" s="21">
        <f>D577</f>
        <v>100000</v>
      </c>
      <c r="E576" s="21">
        <f>E577</f>
        <v>-100000</v>
      </c>
      <c r="F576" s="21">
        <f t="shared" si="9"/>
        <v>0</v>
      </c>
    </row>
    <row r="577" spans="1:6" ht="31.5">
      <c r="A577" s="26" t="s">
        <v>27</v>
      </c>
      <c r="B577" s="20" t="s">
        <v>392</v>
      </c>
      <c r="C577" s="20">
        <v>200</v>
      </c>
      <c r="D577" s="21">
        <f>D578</f>
        <v>100000</v>
      </c>
      <c r="E577" s="21">
        <f>E578</f>
        <v>-100000</v>
      </c>
      <c r="F577" s="21">
        <f t="shared" si="9"/>
        <v>0</v>
      </c>
    </row>
    <row r="578" spans="1:6" ht="31.5">
      <c r="A578" s="26" t="s">
        <v>28</v>
      </c>
      <c r="B578" s="20" t="s">
        <v>392</v>
      </c>
      <c r="C578" s="20">
        <v>240</v>
      </c>
      <c r="D578" s="21">
        <v>100000</v>
      </c>
      <c r="E578" s="21">
        <v>-100000</v>
      </c>
      <c r="F578" s="21">
        <f t="shared" si="9"/>
        <v>0</v>
      </c>
    </row>
    <row r="579" spans="1:6" ht="31.5">
      <c r="A579" s="23" t="s">
        <v>393</v>
      </c>
      <c r="B579" s="20" t="s">
        <v>394</v>
      </c>
      <c r="C579" s="20"/>
      <c r="D579" s="21">
        <f>SUM(D580,D585,D588)</f>
        <v>18400000</v>
      </c>
      <c r="E579" s="21">
        <f>SUM(E580,E585,E588)</f>
        <v>10715120</v>
      </c>
      <c r="F579" s="21">
        <f t="shared" si="9"/>
        <v>29115120</v>
      </c>
    </row>
    <row r="580" spans="1:6" ht="47.25">
      <c r="A580" s="23" t="s">
        <v>395</v>
      </c>
      <c r="B580" s="20" t="s">
        <v>396</v>
      </c>
      <c r="C580" s="20"/>
      <c r="D580" s="21">
        <f>SUM(D581,D583)</f>
        <v>1500000</v>
      </c>
      <c r="E580" s="21">
        <f>SUM(E581,E583)</f>
        <v>0</v>
      </c>
      <c r="F580" s="21">
        <f t="shared" si="9"/>
        <v>1500000</v>
      </c>
    </row>
    <row r="581" spans="1:6" ht="31.5">
      <c r="A581" s="26" t="s">
        <v>14</v>
      </c>
      <c r="B581" s="20" t="s">
        <v>396</v>
      </c>
      <c r="C581" s="20">
        <v>600</v>
      </c>
      <c r="D581" s="21">
        <f>D582</f>
        <v>1500000</v>
      </c>
      <c r="E581" s="21">
        <f>E582</f>
        <v>-1300000</v>
      </c>
      <c r="F581" s="21">
        <f t="shared" si="9"/>
        <v>200000</v>
      </c>
    </row>
    <row r="582" spans="1:6" ht="35.25" customHeight="1">
      <c r="A582" s="26" t="s">
        <v>16</v>
      </c>
      <c r="B582" s="20" t="s">
        <v>396</v>
      </c>
      <c r="C582" s="20">
        <v>630</v>
      </c>
      <c r="D582" s="21">
        <v>1500000</v>
      </c>
      <c r="E582" s="21">
        <v>-1300000</v>
      </c>
      <c r="F582" s="21">
        <f t="shared" si="9"/>
        <v>200000</v>
      </c>
    </row>
    <row r="583" spans="1:6" ht="15.75">
      <c r="A583" s="23" t="s">
        <v>17</v>
      </c>
      <c r="B583" s="20" t="s">
        <v>396</v>
      </c>
      <c r="C583" s="20">
        <v>800</v>
      </c>
      <c r="D583" s="21">
        <f>D584</f>
        <v>0</v>
      </c>
      <c r="E583" s="21">
        <f>E584</f>
        <v>1300000</v>
      </c>
      <c r="F583" s="21">
        <f t="shared" si="9"/>
        <v>1300000</v>
      </c>
    </row>
    <row r="584" spans="1:6" ht="50.25" customHeight="1">
      <c r="A584" s="23" t="s">
        <v>18</v>
      </c>
      <c r="B584" s="20" t="s">
        <v>396</v>
      </c>
      <c r="C584" s="20">
        <v>810</v>
      </c>
      <c r="D584" s="21">
        <v>0</v>
      </c>
      <c r="E584" s="21">
        <v>1300000</v>
      </c>
      <c r="F584" s="21">
        <f aca="true" t="shared" si="10" ref="F584:F607">SUM(D584:E584)</f>
        <v>1300000</v>
      </c>
    </row>
    <row r="585" spans="1:6" ht="31.5">
      <c r="A585" s="23" t="s">
        <v>397</v>
      </c>
      <c r="B585" s="20" t="s">
        <v>398</v>
      </c>
      <c r="C585" s="20"/>
      <c r="D585" s="21">
        <f>D586</f>
        <v>10100000</v>
      </c>
      <c r="E585" s="21">
        <f>E586</f>
        <v>100000</v>
      </c>
      <c r="F585" s="21">
        <f t="shared" si="10"/>
        <v>10200000</v>
      </c>
    </row>
    <row r="586" spans="1:6" ht="15.75">
      <c r="A586" s="23" t="s">
        <v>17</v>
      </c>
      <c r="B586" s="20" t="s">
        <v>398</v>
      </c>
      <c r="C586" s="20">
        <v>800</v>
      </c>
      <c r="D586" s="21">
        <f>D587</f>
        <v>10100000</v>
      </c>
      <c r="E586" s="21">
        <f>E587</f>
        <v>100000</v>
      </c>
      <c r="F586" s="21">
        <f t="shared" si="10"/>
        <v>10200000</v>
      </c>
    </row>
    <row r="587" spans="1:6" ht="50.25" customHeight="1">
      <c r="A587" s="23" t="s">
        <v>18</v>
      </c>
      <c r="B587" s="20" t="s">
        <v>398</v>
      </c>
      <c r="C587" s="20">
        <v>810</v>
      </c>
      <c r="D587" s="21">
        <v>10100000</v>
      </c>
      <c r="E587" s="21">
        <v>100000</v>
      </c>
      <c r="F587" s="21">
        <f t="shared" si="10"/>
        <v>10200000</v>
      </c>
    </row>
    <row r="588" spans="1:6" ht="141.75">
      <c r="A588" s="48" t="s">
        <v>399</v>
      </c>
      <c r="B588" s="20" t="s">
        <v>400</v>
      </c>
      <c r="C588" s="20"/>
      <c r="D588" s="24">
        <f>D589</f>
        <v>6800000</v>
      </c>
      <c r="E588" s="24">
        <f>E589</f>
        <v>10615120</v>
      </c>
      <c r="F588" s="21">
        <f t="shared" si="10"/>
        <v>17415120</v>
      </c>
    </row>
    <row r="589" spans="1:6" ht="31.5">
      <c r="A589" s="26" t="s">
        <v>14</v>
      </c>
      <c r="B589" s="20" t="s">
        <v>400</v>
      </c>
      <c r="C589" s="20">
        <v>600</v>
      </c>
      <c r="D589" s="24">
        <f>D590</f>
        <v>6800000</v>
      </c>
      <c r="E589" s="24">
        <f>E590</f>
        <v>10615120</v>
      </c>
      <c r="F589" s="21">
        <f t="shared" si="10"/>
        <v>17415120</v>
      </c>
    </row>
    <row r="590" spans="1:6" ht="47.25">
      <c r="A590" s="26" t="s">
        <v>16</v>
      </c>
      <c r="B590" s="20" t="s">
        <v>400</v>
      </c>
      <c r="C590" s="20">
        <v>630</v>
      </c>
      <c r="D590" s="24">
        <v>6800000</v>
      </c>
      <c r="E590" s="24">
        <f>6545120+570000+3000000+500000</f>
        <v>10615120</v>
      </c>
      <c r="F590" s="21">
        <f t="shared" si="10"/>
        <v>17415120</v>
      </c>
    </row>
    <row r="591" spans="1:6" ht="47.25">
      <c r="A591" s="15" t="s">
        <v>401</v>
      </c>
      <c r="B591" s="16" t="s">
        <v>402</v>
      </c>
      <c r="C591" s="16"/>
      <c r="D591" s="17">
        <f>D592+D608</f>
        <v>44741875.56</v>
      </c>
      <c r="E591" s="17">
        <f>E592+E608</f>
        <v>2642585.37</v>
      </c>
      <c r="F591" s="17">
        <f t="shared" si="10"/>
        <v>47384460.93</v>
      </c>
    </row>
    <row r="592" spans="1:6" ht="31.5">
      <c r="A592" s="23" t="s">
        <v>403</v>
      </c>
      <c r="B592" s="20" t="s">
        <v>404</v>
      </c>
      <c r="C592" s="20"/>
      <c r="D592" s="21">
        <f>SUM(D593,D596,D599,D602,D605)</f>
        <v>7062660</v>
      </c>
      <c r="E592" s="21">
        <f>SUM(E593,E596,E599,E602,E605)</f>
        <v>-1084250.73</v>
      </c>
      <c r="F592" s="21">
        <f t="shared" si="10"/>
        <v>5978409.27</v>
      </c>
    </row>
    <row r="593" spans="1:6" s="22" customFormat="1" ht="31.5">
      <c r="A593" s="23" t="s">
        <v>405</v>
      </c>
      <c r="B593" s="20" t="s">
        <v>406</v>
      </c>
      <c r="C593" s="20"/>
      <c r="D593" s="21">
        <f>D594</f>
        <v>262660</v>
      </c>
      <c r="E593" s="21">
        <f>E594</f>
        <v>870.64</v>
      </c>
      <c r="F593" s="21">
        <f t="shared" si="10"/>
        <v>263530.64</v>
      </c>
    </row>
    <row r="594" spans="1:6" s="22" customFormat="1" ht="31.5">
      <c r="A594" s="26" t="s">
        <v>27</v>
      </c>
      <c r="B594" s="20" t="s">
        <v>406</v>
      </c>
      <c r="C594" s="20">
        <v>200</v>
      </c>
      <c r="D594" s="21">
        <f>D595</f>
        <v>262660</v>
      </c>
      <c r="E594" s="21">
        <f>E595</f>
        <v>870.64</v>
      </c>
      <c r="F594" s="21">
        <f t="shared" si="10"/>
        <v>263530.64</v>
      </c>
    </row>
    <row r="595" spans="1:6" s="22" customFormat="1" ht="31.5">
      <c r="A595" s="26" t="s">
        <v>28</v>
      </c>
      <c r="B595" s="20" t="s">
        <v>406</v>
      </c>
      <c r="C595" s="20">
        <v>240</v>
      </c>
      <c r="D595" s="21">
        <f>400000-137340</f>
        <v>262660</v>
      </c>
      <c r="E595" s="21">
        <v>870.64</v>
      </c>
      <c r="F595" s="21">
        <f t="shared" si="10"/>
        <v>263530.64</v>
      </c>
    </row>
    <row r="596" spans="1:6" s="22" customFormat="1" ht="63">
      <c r="A596" s="23" t="s">
        <v>407</v>
      </c>
      <c r="B596" s="20" t="s">
        <v>408</v>
      </c>
      <c r="C596" s="20"/>
      <c r="D596" s="21">
        <f>D597</f>
        <v>3242059</v>
      </c>
      <c r="E596" s="21">
        <f>E597</f>
        <v>-227180.37</v>
      </c>
      <c r="F596" s="21">
        <f t="shared" si="10"/>
        <v>3014878.63</v>
      </c>
    </row>
    <row r="597" spans="1:6" ht="31.5">
      <c r="A597" s="26" t="s">
        <v>27</v>
      </c>
      <c r="B597" s="20" t="s">
        <v>408</v>
      </c>
      <c r="C597" s="20">
        <v>200</v>
      </c>
      <c r="D597" s="21">
        <f>D598</f>
        <v>3242059</v>
      </c>
      <c r="E597" s="21">
        <f>E598</f>
        <v>-227180.37</v>
      </c>
      <c r="F597" s="21">
        <f t="shared" si="10"/>
        <v>3014878.63</v>
      </c>
    </row>
    <row r="598" spans="1:6" ht="31.5">
      <c r="A598" s="26" t="s">
        <v>28</v>
      </c>
      <c r="B598" s="20" t="s">
        <v>408</v>
      </c>
      <c r="C598" s="20">
        <v>240</v>
      </c>
      <c r="D598" s="21">
        <f>2605967+636092</f>
        <v>3242059</v>
      </c>
      <c r="E598" s="21">
        <f>-806.51+92349.37+15074.39-333797.62</f>
        <v>-227180.37</v>
      </c>
      <c r="F598" s="21">
        <f t="shared" si="10"/>
        <v>3014878.63</v>
      </c>
    </row>
    <row r="599" spans="1:6" ht="63">
      <c r="A599" s="23" t="s">
        <v>409</v>
      </c>
      <c r="B599" s="20" t="s">
        <v>410</v>
      </c>
      <c r="C599" s="20"/>
      <c r="D599" s="21">
        <f>D600</f>
        <v>257941</v>
      </c>
      <c r="E599" s="21">
        <f>E600</f>
        <v>-257941</v>
      </c>
      <c r="F599" s="21">
        <f t="shared" si="10"/>
        <v>0</v>
      </c>
    </row>
    <row r="600" spans="1:6" ht="31.5">
      <c r="A600" s="26" t="s">
        <v>27</v>
      </c>
      <c r="B600" s="20" t="s">
        <v>410</v>
      </c>
      <c r="C600" s="20">
        <v>200</v>
      </c>
      <c r="D600" s="21">
        <f>D601</f>
        <v>257941</v>
      </c>
      <c r="E600" s="21">
        <f>E601</f>
        <v>-257941</v>
      </c>
      <c r="F600" s="21">
        <f t="shared" si="10"/>
        <v>0</v>
      </c>
    </row>
    <row r="601" spans="1:6" ht="31.5">
      <c r="A601" s="26" t="s">
        <v>28</v>
      </c>
      <c r="B601" s="20" t="s">
        <v>410</v>
      </c>
      <c r="C601" s="20">
        <v>240</v>
      </c>
      <c r="D601" s="21">
        <f>207333+50608</f>
        <v>257941</v>
      </c>
      <c r="E601" s="21">
        <f>-64.13-207333-50543.87</f>
        <v>-257941</v>
      </c>
      <c r="F601" s="21">
        <f t="shared" si="10"/>
        <v>0</v>
      </c>
    </row>
    <row r="602" spans="1:6" ht="47.25">
      <c r="A602" s="23" t="s">
        <v>411</v>
      </c>
      <c r="B602" s="20" t="s">
        <v>412</v>
      </c>
      <c r="C602" s="20"/>
      <c r="D602" s="21">
        <f>D603</f>
        <v>300000</v>
      </c>
      <c r="E602" s="21">
        <f>E603</f>
        <v>0</v>
      </c>
      <c r="F602" s="21">
        <f t="shared" si="10"/>
        <v>300000</v>
      </c>
    </row>
    <row r="603" spans="1:6" ht="31.5">
      <c r="A603" s="26" t="s">
        <v>27</v>
      </c>
      <c r="B603" s="20" t="s">
        <v>412</v>
      </c>
      <c r="C603" s="20">
        <v>200</v>
      </c>
      <c r="D603" s="21">
        <f>D604</f>
        <v>300000</v>
      </c>
      <c r="E603" s="21">
        <f>E604</f>
        <v>0</v>
      </c>
      <c r="F603" s="21">
        <f t="shared" si="10"/>
        <v>300000</v>
      </c>
    </row>
    <row r="604" spans="1:6" ht="31.5">
      <c r="A604" s="26" t="s">
        <v>28</v>
      </c>
      <c r="B604" s="20" t="s">
        <v>412</v>
      </c>
      <c r="C604" s="20">
        <v>240</v>
      </c>
      <c r="D604" s="21">
        <v>300000</v>
      </c>
      <c r="E604" s="21">
        <v>0</v>
      </c>
      <c r="F604" s="21">
        <f t="shared" si="10"/>
        <v>300000</v>
      </c>
    </row>
    <row r="605" spans="1:6" ht="31.5">
      <c r="A605" s="23" t="s">
        <v>413</v>
      </c>
      <c r="B605" s="20" t="s">
        <v>414</v>
      </c>
      <c r="C605" s="20"/>
      <c r="D605" s="21">
        <f>D606</f>
        <v>3000000</v>
      </c>
      <c r="E605" s="21">
        <f>E606</f>
        <v>-600000</v>
      </c>
      <c r="F605" s="21">
        <f t="shared" si="10"/>
        <v>2400000</v>
      </c>
    </row>
    <row r="606" spans="1:6" ht="31.5">
      <c r="A606" s="26" t="s">
        <v>27</v>
      </c>
      <c r="B606" s="20" t="s">
        <v>414</v>
      </c>
      <c r="C606" s="20">
        <v>200</v>
      </c>
      <c r="D606" s="21">
        <f>D607</f>
        <v>3000000</v>
      </c>
      <c r="E606" s="21">
        <f>E607</f>
        <v>-600000</v>
      </c>
      <c r="F606" s="21">
        <f t="shared" si="10"/>
        <v>2400000</v>
      </c>
    </row>
    <row r="607" spans="1:6" s="22" customFormat="1" ht="31.5">
      <c r="A607" s="26" t="s">
        <v>28</v>
      </c>
      <c r="B607" s="20" t="s">
        <v>414</v>
      </c>
      <c r="C607" s="20">
        <v>240</v>
      </c>
      <c r="D607" s="21">
        <v>3000000</v>
      </c>
      <c r="E607" s="21">
        <v>-600000</v>
      </c>
      <c r="F607" s="21">
        <f t="shared" si="10"/>
        <v>2400000</v>
      </c>
    </row>
    <row r="608" spans="1:6" s="22" customFormat="1" ht="47.25">
      <c r="A608" s="23" t="s">
        <v>415</v>
      </c>
      <c r="B608" s="20" t="s">
        <v>416</v>
      </c>
      <c r="C608" s="20"/>
      <c r="D608" s="21">
        <f>SUM(D609,D612,D619,D622)</f>
        <v>37679215.56</v>
      </c>
      <c r="E608" s="21">
        <f>SUM(E609,E612,E619,E622)</f>
        <v>3726836.1</v>
      </c>
      <c r="F608" s="21">
        <f>SUM(F609,F612,F619,F622)</f>
        <v>41406051.66</v>
      </c>
    </row>
    <row r="609" spans="1:6" s="22" customFormat="1" ht="110.25">
      <c r="A609" s="26" t="s">
        <v>417</v>
      </c>
      <c r="B609" s="20" t="s">
        <v>418</v>
      </c>
      <c r="C609" s="20"/>
      <c r="D609" s="21">
        <f>D610</f>
        <v>179215.56</v>
      </c>
      <c r="E609" s="21">
        <f>E610</f>
        <v>-179215.56</v>
      </c>
      <c r="F609" s="21">
        <f aca="true" t="shared" si="11" ref="F609:F626">SUM(D609:E609)</f>
        <v>0</v>
      </c>
    </row>
    <row r="610" spans="1:6" s="22" customFormat="1" ht="31.5">
      <c r="A610" s="26" t="s">
        <v>27</v>
      </c>
      <c r="B610" s="20" t="s">
        <v>418</v>
      </c>
      <c r="C610" s="20">
        <v>200</v>
      </c>
      <c r="D610" s="21">
        <f>D611</f>
        <v>179215.56</v>
      </c>
      <c r="E610" s="21">
        <f>E611</f>
        <v>-179215.56</v>
      </c>
      <c r="F610" s="21">
        <f t="shared" si="11"/>
        <v>0</v>
      </c>
    </row>
    <row r="611" spans="1:6" s="22" customFormat="1" ht="31.5">
      <c r="A611" s="26" t="s">
        <v>28</v>
      </c>
      <c r="B611" s="20" t="s">
        <v>418</v>
      </c>
      <c r="C611" s="20">
        <v>240</v>
      </c>
      <c r="D611" s="21">
        <f>17921.56+161294</f>
        <v>179215.56</v>
      </c>
      <c r="E611" s="21">
        <f>-161294-17921.56</f>
        <v>-179215.56</v>
      </c>
      <c r="F611" s="21">
        <f t="shared" si="11"/>
        <v>0</v>
      </c>
    </row>
    <row r="612" spans="1:6" s="22" customFormat="1" ht="63">
      <c r="A612" s="23" t="s">
        <v>419</v>
      </c>
      <c r="B612" s="20" t="s">
        <v>420</v>
      </c>
      <c r="C612" s="20"/>
      <c r="D612" s="21">
        <f>SUM(D613,D615,D617)</f>
        <v>36750000</v>
      </c>
      <c r="E612" s="21">
        <f>SUM(E613,E615,E617)</f>
        <v>3417546.41</v>
      </c>
      <c r="F612" s="21">
        <f t="shared" si="11"/>
        <v>40167546.41</v>
      </c>
    </row>
    <row r="613" spans="1:6" s="22" customFormat="1" ht="78.75">
      <c r="A613" s="29" t="s">
        <v>80</v>
      </c>
      <c r="B613" s="20" t="s">
        <v>420</v>
      </c>
      <c r="C613" s="20">
        <v>100</v>
      </c>
      <c r="D613" s="21">
        <f>D614</f>
        <v>33000000</v>
      </c>
      <c r="E613" s="21">
        <f>E614</f>
        <v>0</v>
      </c>
      <c r="F613" s="21">
        <f t="shared" si="11"/>
        <v>33000000</v>
      </c>
    </row>
    <row r="614" spans="1:6" s="22" customFormat="1" ht="15.75">
      <c r="A614" s="29" t="s">
        <v>91</v>
      </c>
      <c r="B614" s="20" t="s">
        <v>420</v>
      </c>
      <c r="C614" s="20">
        <v>110</v>
      </c>
      <c r="D614" s="21">
        <v>33000000</v>
      </c>
      <c r="E614" s="21">
        <v>0</v>
      </c>
      <c r="F614" s="21">
        <f t="shared" si="11"/>
        <v>33000000</v>
      </c>
    </row>
    <row r="615" spans="1:6" s="22" customFormat="1" ht="31.5">
      <c r="A615" s="26" t="s">
        <v>27</v>
      </c>
      <c r="B615" s="20" t="s">
        <v>420</v>
      </c>
      <c r="C615" s="20">
        <v>200</v>
      </c>
      <c r="D615" s="21">
        <f>D616</f>
        <v>3600000</v>
      </c>
      <c r="E615" s="21">
        <f>E616</f>
        <v>2030246.41</v>
      </c>
      <c r="F615" s="21">
        <f t="shared" si="11"/>
        <v>5630246.41</v>
      </c>
    </row>
    <row r="616" spans="1:6" s="22" customFormat="1" ht="31.5">
      <c r="A616" s="26" t="s">
        <v>28</v>
      </c>
      <c r="B616" s="20" t="s">
        <v>420</v>
      </c>
      <c r="C616" s="20">
        <v>240</v>
      </c>
      <c r="D616" s="21">
        <v>3600000</v>
      </c>
      <c r="E616" s="21">
        <f>452000+311416.67+300000+144000+250000-23000+295829.74+300000</f>
        <v>2030246.41</v>
      </c>
      <c r="F616" s="21">
        <f t="shared" si="11"/>
        <v>5630246.41</v>
      </c>
    </row>
    <row r="617" spans="1:6" s="22" customFormat="1" ht="15.75">
      <c r="A617" s="26" t="s">
        <v>17</v>
      </c>
      <c r="B617" s="20" t="s">
        <v>420</v>
      </c>
      <c r="C617" s="20">
        <v>800</v>
      </c>
      <c r="D617" s="21">
        <f>D618</f>
        <v>150000</v>
      </c>
      <c r="E617" s="21">
        <f>E618</f>
        <v>1387300</v>
      </c>
      <c r="F617" s="21">
        <f t="shared" si="11"/>
        <v>1537300</v>
      </c>
    </row>
    <row r="618" spans="1:6" s="22" customFormat="1" ht="15.75">
      <c r="A618" s="26" t="s">
        <v>87</v>
      </c>
      <c r="B618" s="20" t="s">
        <v>420</v>
      </c>
      <c r="C618" s="20">
        <v>850</v>
      </c>
      <c r="D618" s="21">
        <v>150000</v>
      </c>
      <c r="E618" s="27">
        <f>23000+200000+1164300</f>
        <v>1387300</v>
      </c>
      <c r="F618" s="21">
        <f t="shared" si="11"/>
        <v>1537300</v>
      </c>
    </row>
    <row r="619" spans="1:6" s="22" customFormat="1" ht="63">
      <c r="A619" s="26" t="s">
        <v>421</v>
      </c>
      <c r="B619" s="20" t="s">
        <v>422</v>
      </c>
      <c r="C619" s="20"/>
      <c r="D619" s="21">
        <f>D620</f>
        <v>750000</v>
      </c>
      <c r="E619" s="21">
        <f>E620</f>
        <v>410335.25</v>
      </c>
      <c r="F619" s="21">
        <f t="shared" si="11"/>
        <v>1160335.25</v>
      </c>
    </row>
    <row r="620" spans="1:7" s="14" customFormat="1" ht="31.5">
      <c r="A620" s="26" t="s">
        <v>27</v>
      </c>
      <c r="B620" s="20" t="s">
        <v>422</v>
      </c>
      <c r="C620" s="20">
        <v>200</v>
      </c>
      <c r="D620" s="21">
        <f>D621</f>
        <v>750000</v>
      </c>
      <c r="E620" s="21">
        <f>E621</f>
        <v>410335.25</v>
      </c>
      <c r="F620" s="21">
        <f t="shared" si="11"/>
        <v>1160335.25</v>
      </c>
      <c r="G620" s="22"/>
    </row>
    <row r="621" spans="1:6" s="22" customFormat="1" ht="31.5">
      <c r="A621" s="26" t="s">
        <v>28</v>
      </c>
      <c r="B621" s="20" t="s">
        <v>422</v>
      </c>
      <c r="C621" s="20">
        <v>240</v>
      </c>
      <c r="D621" s="21">
        <v>750000</v>
      </c>
      <c r="E621" s="21">
        <f>-0.5+1042.15+653.67+200000+8639.93+100000+100000</f>
        <v>410335.25</v>
      </c>
      <c r="F621" s="21">
        <f t="shared" si="11"/>
        <v>1160335.25</v>
      </c>
    </row>
    <row r="622" spans="1:6" s="22" customFormat="1" ht="35.25" customHeight="1">
      <c r="A622" s="26" t="s">
        <v>423</v>
      </c>
      <c r="B622" s="20" t="s">
        <v>424</v>
      </c>
      <c r="C622" s="20"/>
      <c r="D622" s="21">
        <f>D623+D625</f>
        <v>0</v>
      </c>
      <c r="E622" s="21">
        <f>E623+E625</f>
        <v>78170</v>
      </c>
      <c r="F622" s="21">
        <f t="shared" si="11"/>
        <v>78170</v>
      </c>
    </row>
    <row r="623" spans="1:6" s="22" customFormat="1" ht="31.5">
      <c r="A623" s="26" t="s">
        <v>27</v>
      </c>
      <c r="B623" s="20" t="s">
        <v>424</v>
      </c>
      <c r="C623" s="20">
        <v>200</v>
      </c>
      <c r="D623" s="21">
        <f>D624</f>
        <v>0</v>
      </c>
      <c r="E623" s="21">
        <f>E624</f>
        <v>0</v>
      </c>
      <c r="F623" s="21">
        <f t="shared" si="11"/>
        <v>0</v>
      </c>
    </row>
    <row r="624" spans="1:6" s="22" customFormat="1" ht="31.5">
      <c r="A624" s="26" t="s">
        <v>28</v>
      </c>
      <c r="B624" s="20" t="s">
        <v>424</v>
      </c>
      <c r="C624" s="20">
        <v>240</v>
      </c>
      <c r="D624" s="21">
        <v>0</v>
      </c>
      <c r="E624" s="21">
        <f>84706.67-5883-653.67-78170</f>
        <v>0</v>
      </c>
      <c r="F624" s="21">
        <f t="shared" si="11"/>
        <v>0</v>
      </c>
    </row>
    <row r="625" spans="1:6" s="22" customFormat="1" ht="15.75">
      <c r="A625" s="26" t="s">
        <v>29</v>
      </c>
      <c r="B625" s="20" t="s">
        <v>424</v>
      </c>
      <c r="C625" s="20">
        <v>300</v>
      </c>
      <c r="D625" s="21">
        <f>D626</f>
        <v>0</v>
      </c>
      <c r="E625" s="21">
        <f>E626</f>
        <v>78170</v>
      </c>
      <c r="F625" s="21">
        <f t="shared" si="11"/>
        <v>78170</v>
      </c>
    </row>
    <row r="626" spans="1:6" s="22" customFormat="1" ht="15.75">
      <c r="A626" s="26" t="s">
        <v>425</v>
      </c>
      <c r="B626" s="20" t="s">
        <v>424</v>
      </c>
      <c r="C626" s="20">
        <v>360</v>
      </c>
      <c r="D626" s="21">
        <v>0</v>
      </c>
      <c r="E626" s="21">
        <v>78170</v>
      </c>
      <c r="F626" s="21">
        <f t="shared" si="11"/>
        <v>78170</v>
      </c>
    </row>
    <row r="627" spans="1:6" s="22" customFormat="1" ht="31.5">
      <c r="A627" s="44" t="s">
        <v>426</v>
      </c>
      <c r="B627" s="16" t="s">
        <v>427</v>
      </c>
      <c r="C627" s="16"/>
      <c r="D627" s="45">
        <f>SUM(D631,D628)</f>
        <v>21138744.35</v>
      </c>
      <c r="E627" s="45">
        <f>SUM(E631,E628)</f>
        <v>-1325929.6400000001</v>
      </c>
      <c r="F627" s="45">
        <f>SUM(F631,F628)</f>
        <v>19812814.71</v>
      </c>
    </row>
    <row r="628" spans="1:6" s="22" customFormat="1" ht="63">
      <c r="A628" s="26" t="s">
        <v>428</v>
      </c>
      <c r="B628" s="20" t="s">
        <v>429</v>
      </c>
      <c r="C628" s="20"/>
      <c r="D628" s="24">
        <f>D629</f>
        <v>0</v>
      </c>
      <c r="E628" s="24">
        <f>E629</f>
        <v>310759.2</v>
      </c>
      <c r="F628" s="28">
        <f aca="true" t="shared" si="12" ref="F628:F755">SUM(D628:E628)</f>
        <v>310759.2</v>
      </c>
    </row>
    <row r="629" spans="1:6" s="22" customFormat="1" ht="31.5">
      <c r="A629" s="26" t="s">
        <v>27</v>
      </c>
      <c r="B629" s="20" t="s">
        <v>429</v>
      </c>
      <c r="C629" s="20">
        <v>200</v>
      </c>
      <c r="D629" s="24">
        <f>D630</f>
        <v>0</v>
      </c>
      <c r="E629" s="24">
        <f>E630</f>
        <v>310759.2</v>
      </c>
      <c r="F629" s="28">
        <f t="shared" si="12"/>
        <v>310759.2</v>
      </c>
    </row>
    <row r="630" spans="1:6" s="22" customFormat="1" ht="31.5">
      <c r="A630" s="26" t="s">
        <v>28</v>
      </c>
      <c r="B630" s="20" t="s">
        <v>429</v>
      </c>
      <c r="C630" s="20">
        <v>240</v>
      </c>
      <c r="D630" s="24">
        <v>0</v>
      </c>
      <c r="E630" s="24">
        <v>310759.2</v>
      </c>
      <c r="F630" s="28">
        <f t="shared" si="12"/>
        <v>310759.2</v>
      </c>
    </row>
    <row r="631" spans="1:6" s="22" customFormat="1" ht="110.25">
      <c r="A631" s="48" t="s">
        <v>430</v>
      </c>
      <c r="B631" s="20" t="s">
        <v>431</v>
      </c>
      <c r="C631" s="20"/>
      <c r="D631" s="24">
        <f>D632</f>
        <v>21138744.35</v>
      </c>
      <c r="E631" s="24">
        <f>E632</f>
        <v>-1636688.84</v>
      </c>
      <c r="F631" s="21">
        <f t="shared" si="12"/>
        <v>19502055.51</v>
      </c>
    </row>
    <row r="632" spans="1:6" s="22" customFormat="1" ht="31.5">
      <c r="A632" s="26" t="s">
        <v>27</v>
      </c>
      <c r="B632" s="20" t="s">
        <v>431</v>
      </c>
      <c r="C632" s="20">
        <v>200</v>
      </c>
      <c r="D632" s="24">
        <f>D633</f>
        <v>21138744.35</v>
      </c>
      <c r="E632" s="24">
        <f>E633</f>
        <v>-1636688.84</v>
      </c>
      <c r="F632" s="21">
        <f t="shared" si="12"/>
        <v>19502055.51</v>
      </c>
    </row>
    <row r="633" spans="1:6" s="22" customFormat="1" ht="31.5">
      <c r="A633" s="26" t="s">
        <v>28</v>
      </c>
      <c r="B633" s="20" t="s">
        <v>431</v>
      </c>
      <c r="C633" s="20">
        <v>240</v>
      </c>
      <c r="D633" s="24">
        <f>447851.92+15546859.51+5000000+144032.92</f>
        <v>21138744.35</v>
      </c>
      <c r="E633" s="24">
        <f>-1290932.62-37187.36-299928.93-8639.93</f>
        <v>-1636688.84</v>
      </c>
      <c r="F633" s="21">
        <f t="shared" si="12"/>
        <v>19502055.51</v>
      </c>
    </row>
    <row r="634" spans="1:6" s="22" customFormat="1" ht="31.5">
      <c r="A634" s="15" t="s">
        <v>432</v>
      </c>
      <c r="B634" s="16" t="s">
        <v>433</v>
      </c>
      <c r="C634" s="16"/>
      <c r="D634" s="17">
        <f>SUM(D635,D640,D645,D648,D651)</f>
        <v>1800000</v>
      </c>
      <c r="E634" s="17">
        <f>SUM(E635,E640,E645,E648,E651)</f>
        <v>0</v>
      </c>
      <c r="F634" s="17">
        <f t="shared" si="12"/>
        <v>1800000</v>
      </c>
    </row>
    <row r="635" spans="1:6" s="22" customFormat="1" ht="15.75">
      <c r="A635" s="23" t="s">
        <v>434</v>
      </c>
      <c r="B635" s="20" t="s">
        <v>435</v>
      </c>
      <c r="C635" s="20"/>
      <c r="D635" s="21">
        <f>D638+D636</f>
        <v>600000</v>
      </c>
      <c r="E635" s="21">
        <f>E638+E636</f>
        <v>400000</v>
      </c>
      <c r="F635" s="21">
        <f t="shared" si="12"/>
        <v>1000000</v>
      </c>
    </row>
    <row r="636" spans="1:6" s="22" customFormat="1" ht="31.5">
      <c r="A636" s="26" t="s">
        <v>14</v>
      </c>
      <c r="B636" s="20" t="s">
        <v>435</v>
      </c>
      <c r="C636" s="20">
        <v>600</v>
      </c>
      <c r="D636" s="27">
        <f>D637</f>
        <v>0</v>
      </c>
      <c r="E636" s="27">
        <f>E637</f>
        <v>1000000</v>
      </c>
      <c r="F636" s="46">
        <f t="shared" si="12"/>
        <v>1000000</v>
      </c>
    </row>
    <row r="637" spans="1:6" s="22" customFormat="1" ht="47.25">
      <c r="A637" s="23" t="s">
        <v>16</v>
      </c>
      <c r="B637" s="20" t="s">
        <v>435</v>
      </c>
      <c r="C637" s="20">
        <v>630</v>
      </c>
      <c r="D637" s="27"/>
      <c r="E637" s="27">
        <v>1000000</v>
      </c>
      <c r="F637" s="46">
        <f t="shared" si="12"/>
        <v>1000000</v>
      </c>
    </row>
    <row r="638" spans="1:6" s="22" customFormat="1" ht="15.75">
      <c r="A638" s="23" t="s">
        <v>17</v>
      </c>
      <c r="B638" s="20" t="s">
        <v>435</v>
      </c>
      <c r="C638" s="20">
        <v>800</v>
      </c>
      <c r="D638" s="21">
        <f>D639</f>
        <v>600000</v>
      </c>
      <c r="E638" s="21">
        <f>E639</f>
        <v>-600000</v>
      </c>
      <c r="F638" s="21">
        <f t="shared" si="12"/>
        <v>0</v>
      </c>
    </row>
    <row r="639" spans="1:6" s="22" customFormat="1" ht="63">
      <c r="A639" s="23" t="s">
        <v>18</v>
      </c>
      <c r="B639" s="20" t="s">
        <v>435</v>
      </c>
      <c r="C639" s="20">
        <v>810</v>
      </c>
      <c r="D639" s="21">
        <v>600000</v>
      </c>
      <c r="E639" s="21">
        <v>-600000</v>
      </c>
      <c r="F639" s="21">
        <f t="shared" si="12"/>
        <v>0</v>
      </c>
    </row>
    <row r="640" spans="1:7" s="14" customFormat="1" ht="47.25">
      <c r="A640" s="26" t="s">
        <v>436</v>
      </c>
      <c r="B640" s="20" t="s">
        <v>437</v>
      </c>
      <c r="C640" s="20"/>
      <c r="D640" s="21">
        <f>D643+D641</f>
        <v>200000</v>
      </c>
      <c r="E640" s="21">
        <f>E643+E641</f>
        <v>600000</v>
      </c>
      <c r="F640" s="21">
        <f t="shared" si="12"/>
        <v>800000</v>
      </c>
      <c r="G640" s="22"/>
    </row>
    <row r="641" spans="1:7" s="14" customFormat="1" ht="31.5">
      <c r="A641" s="26" t="s">
        <v>14</v>
      </c>
      <c r="B641" s="20" t="s">
        <v>437</v>
      </c>
      <c r="C641" s="20">
        <v>600</v>
      </c>
      <c r="D641" s="27">
        <f>D642</f>
        <v>0</v>
      </c>
      <c r="E641" s="27">
        <f>E642</f>
        <v>800000</v>
      </c>
      <c r="F641" s="46">
        <f t="shared" si="12"/>
        <v>800000</v>
      </c>
      <c r="G641" s="22"/>
    </row>
    <row r="642" spans="1:7" s="14" customFormat="1" ht="47.25">
      <c r="A642" s="23" t="s">
        <v>16</v>
      </c>
      <c r="B642" s="20" t="s">
        <v>437</v>
      </c>
      <c r="C642" s="20">
        <v>630</v>
      </c>
      <c r="D642" s="27"/>
      <c r="E642" s="27">
        <v>800000</v>
      </c>
      <c r="F642" s="46">
        <f t="shared" si="12"/>
        <v>800000</v>
      </c>
      <c r="G642" s="22"/>
    </row>
    <row r="643" spans="1:6" s="22" customFormat="1" ht="15.75">
      <c r="A643" s="23" t="s">
        <v>17</v>
      </c>
      <c r="B643" s="20" t="s">
        <v>437</v>
      </c>
      <c r="C643" s="20">
        <v>800</v>
      </c>
      <c r="D643" s="21">
        <f>D644</f>
        <v>200000</v>
      </c>
      <c r="E643" s="21">
        <f>E644</f>
        <v>-200000</v>
      </c>
      <c r="F643" s="21">
        <f t="shared" si="12"/>
        <v>0</v>
      </c>
    </row>
    <row r="644" spans="1:6" s="22" customFormat="1" ht="63">
      <c r="A644" s="23" t="s">
        <v>18</v>
      </c>
      <c r="B644" s="20" t="s">
        <v>437</v>
      </c>
      <c r="C644" s="20">
        <v>810</v>
      </c>
      <c r="D644" s="21">
        <v>200000</v>
      </c>
      <c r="E644" s="21">
        <v>-200000</v>
      </c>
      <c r="F644" s="21">
        <f t="shared" si="12"/>
        <v>0</v>
      </c>
    </row>
    <row r="645" spans="1:6" s="22" customFormat="1" ht="47.25">
      <c r="A645" s="26" t="s">
        <v>438</v>
      </c>
      <c r="B645" s="20" t="s">
        <v>439</v>
      </c>
      <c r="C645" s="20"/>
      <c r="D645" s="21">
        <f>D646</f>
        <v>100000</v>
      </c>
      <c r="E645" s="21">
        <f>E646</f>
        <v>-100000</v>
      </c>
      <c r="F645" s="21">
        <f t="shared" si="12"/>
        <v>0</v>
      </c>
    </row>
    <row r="646" spans="1:6" s="22" customFormat="1" ht="15.75">
      <c r="A646" s="23" t="s">
        <v>17</v>
      </c>
      <c r="B646" s="20" t="s">
        <v>439</v>
      </c>
      <c r="C646" s="20">
        <v>800</v>
      </c>
      <c r="D646" s="21">
        <f>D647</f>
        <v>100000</v>
      </c>
      <c r="E646" s="21">
        <f>E647</f>
        <v>-100000</v>
      </c>
      <c r="F646" s="21">
        <f t="shared" si="12"/>
        <v>0</v>
      </c>
    </row>
    <row r="647" spans="1:6" s="14" customFormat="1" ht="63">
      <c r="A647" s="23" t="s">
        <v>18</v>
      </c>
      <c r="B647" s="20" t="s">
        <v>439</v>
      </c>
      <c r="C647" s="20">
        <v>810</v>
      </c>
      <c r="D647" s="21">
        <v>100000</v>
      </c>
      <c r="E647" s="21">
        <v>-100000</v>
      </c>
      <c r="F647" s="21">
        <f t="shared" si="12"/>
        <v>0</v>
      </c>
    </row>
    <row r="648" spans="1:6" s="14" customFormat="1" ht="47.25">
      <c r="A648" s="26" t="s">
        <v>440</v>
      </c>
      <c r="B648" s="20" t="s">
        <v>441</v>
      </c>
      <c r="C648" s="20"/>
      <c r="D648" s="21">
        <f>D649</f>
        <v>100000</v>
      </c>
      <c r="E648" s="21">
        <f>E649</f>
        <v>-100000</v>
      </c>
      <c r="F648" s="21">
        <f t="shared" si="12"/>
        <v>0</v>
      </c>
    </row>
    <row r="649" spans="1:6" s="14" customFormat="1" ht="15.75">
      <c r="A649" s="23" t="s">
        <v>17</v>
      </c>
      <c r="B649" s="20" t="s">
        <v>441</v>
      </c>
      <c r="C649" s="20">
        <v>800</v>
      </c>
      <c r="D649" s="21">
        <f>D650</f>
        <v>100000</v>
      </c>
      <c r="E649" s="21">
        <f>E650</f>
        <v>-100000</v>
      </c>
      <c r="F649" s="21">
        <f t="shared" si="12"/>
        <v>0</v>
      </c>
    </row>
    <row r="650" spans="1:6" s="14" customFormat="1" ht="63">
      <c r="A650" s="23" t="s">
        <v>18</v>
      </c>
      <c r="B650" s="20" t="s">
        <v>441</v>
      </c>
      <c r="C650" s="20">
        <v>810</v>
      </c>
      <c r="D650" s="21">
        <v>100000</v>
      </c>
      <c r="E650" s="21">
        <v>-100000</v>
      </c>
      <c r="F650" s="21">
        <f t="shared" si="12"/>
        <v>0</v>
      </c>
    </row>
    <row r="651" spans="1:6" s="14" customFormat="1" ht="48" customHeight="1">
      <c r="A651" s="26" t="s">
        <v>442</v>
      </c>
      <c r="B651" s="20" t="s">
        <v>443</v>
      </c>
      <c r="C651" s="20"/>
      <c r="D651" s="21">
        <f>D652</f>
        <v>800000</v>
      </c>
      <c r="E651" s="21">
        <f>E652</f>
        <v>-800000</v>
      </c>
      <c r="F651" s="21">
        <f t="shared" si="12"/>
        <v>0</v>
      </c>
    </row>
    <row r="652" spans="1:6" s="14" customFormat="1" ht="15.75">
      <c r="A652" s="23" t="s">
        <v>17</v>
      </c>
      <c r="B652" s="20" t="s">
        <v>443</v>
      </c>
      <c r="C652" s="20">
        <v>800</v>
      </c>
      <c r="D652" s="21">
        <f>D653</f>
        <v>800000</v>
      </c>
      <c r="E652" s="21">
        <f>E653</f>
        <v>-800000</v>
      </c>
      <c r="F652" s="21">
        <f t="shared" si="12"/>
        <v>0</v>
      </c>
    </row>
    <row r="653" spans="1:6" s="22" customFormat="1" ht="63">
      <c r="A653" s="23" t="s">
        <v>18</v>
      </c>
      <c r="B653" s="20" t="s">
        <v>443</v>
      </c>
      <c r="C653" s="20">
        <v>810</v>
      </c>
      <c r="D653" s="21">
        <v>800000</v>
      </c>
      <c r="E653" s="21">
        <v>-800000</v>
      </c>
      <c r="F653" s="21">
        <f t="shared" si="12"/>
        <v>0</v>
      </c>
    </row>
    <row r="654" spans="1:6" s="14" customFormat="1" ht="15.75">
      <c r="A654" s="49" t="s">
        <v>444</v>
      </c>
      <c r="B654" s="16" t="s">
        <v>445</v>
      </c>
      <c r="C654" s="50"/>
      <c r="D654" s="51">
        <f>D655+D710+D720+D765+D796+D800</f>
        <v>1862188220.84</v>
      </c>
      <c r="E654" s="51">
        <f>E655+E710+E720+E765+E796+E800</f>
        <v>242052279.92</v>
      </c>
      <c r="F654" s="17">
        <f t="shared" si="12"/>
        <v>2104240500.76</v>
      </c>
    </row>
    <row r="655" spans="1:6" s="22" customFormat="1" ht="31.5">
      <c r="A655" s="23" t="s">
        <v>446</v>
      </c>
      <c r="B655" s="20" t="s">
        <v>447</v>
      </c>
      <c r="C655" s="20"/>
      <c r="D655" s="21">
        <f>D659+D662+D667+D674+D681+D688+D695+D705+D656+D702</f>
        <v>317537223</v>
      </c>
      <c r="E655" s="21">
        <f>E659+E662+E667+E674+E681+E688+E695+E705+E656+E702</f>
        <v>11778997</v>
      </c>
      <c r="F655" s="21">
        <f t="shared" si="12"/>
        <v>329316220</v>
      </c>
    </row>
    <row r="656" spans="1:6" s="22" customFormat="1" ht="54.75" customHeight="1">
      <c r="A656" s="23" t="s">
        <v>448</v>
      </c>
      <c r="B656" s="20" t="s">
        <v>449</v>
      </c>
      <c r="C656" s="20"/>
      <c r="D656" s="21">
        <f>D657</f>
        <v>0</v>
      </c>
      <c r="E656" s="21">
        <f>E657</f>
        <v>2456430</v>
      </c>
      <c r="F656" s="21">
        <f t="shared" si="12"/>
        <v>2456430</v>
      </c>
    </row>
    <row r="657" spans="1:6" s="22" customFormat="1" ht="78.75">
      <c r="A657" s="29" t="s">
        <v>80</v>
      </c>
      <c r="B657" s="20" t="s">
        <v>449</v>
      </c>
      <c r="C657" s="30" t="s">
        <v>81</v>
      </c>
      <c r="D657" s="21">
        <f>D658</f>
        <v>0</v>
      </c>
      <c r="E657" s="21">
        <f>E658</f>
        <v>2456430</v>
      </c>
      <c r="F657" s="21">
        <f t="shared" si="12"/>
        <v>2456430</v>
      </c>
    </row>
    <row r="658" spans="1:6" s="22" customFormat="1" ht="31.5">
      <c r="A658" s="29" t="s">
        <v>82</v>
      </c>
      <c r="B658" s="20" t="s">
        <v>449</v>
      </c>
      <c r="C658" s="30" t="s">
        <v>83</v>
      </c>
      <c r="D658" s="21">
        <v>0</v>
      </c>
      <c r="E658" s="21">
        <f>2140508+315922</f>
        <v>2456430</v>
      </c>
      <c r="F658" s="21">
        <f t="shared" si="12"/>
        <v>2456430</v>
      </c>
    </row>
    <row r="659" spans="1:6" s="14" customFormat="1" ht="27" customHeight="1">
      <c r="A659" s="26" t="s">
        <v>450</v>
      </c>
      <c r="B659" s="20" t="s">
        <v>451</v>
      </c>
      <c r="C659" s="30"/>
      <c r="D659" s="21">
        <f>D660</f>
        <v>429435</v>
      </c>
      <c r="E659" s="21">
        <f>E660</f>
        <v>0</v>
      </c>
      <c r="F659" s="21">
        <f t="shared" si="12"/>
        <v>429435</v>
      </c>
    </row>
    <row r="660" spans="1:6" s="31" customFormat="1" ht="31.5">
      <c r="A660" s="26" t="s">
        <v>27</v>
      </c>
      <c r="B660" s="20" t="s">
        <v>451</v>
      </c>
      <c r="C660" s="30" t="s">
        <v>84</v>
      </c>
      <c r="D660" s="24">
        <f>D661</f>
        <v>429435</v>
      </c>
      <c r="E660" s="24">
        <f>E661</f>
        <v>0</v>
      </c>
      <c r="F660" s="21">
        <f t="shared" si="12"/>
        <v>429435</v>
      </c>
    </row>
    <row r="661" spans="1:6" s="22" customFormat="1" ht="31.5">
      <c r="A661" s="26" t="s">
        <v>28</v>
      </c>
      <c r="B661" s="20" t="s">
        <v>451</v>
      </c>
      <c r="C661" s="30" t="s">
        <v>85</v>
      </c>
      <c r="D661" s="24">
        <v>429435</v>
      </c>
      <c r="E661" s="24">
        <v>0</v>
      </c>
      <c r="F661" s="21">
        <f t="shared" si="12"/>
        <v>429435</v>
      </c>
    </row>
    <row r="662" spans="1:6" s="22" customFormat="1" ht="31.5">
      <c r="A662" s="26" t="s">
        <v>452</v>
      </c>
      <c r="B662" s="20" t="s">
        <v>453</v>
      </c>
      <c r="C662" s="30"/>
      <c r="D662" s="24">
        <f>SUM(D663,D665)</f>
        <v>6395478</v>
      </c>
      <c r="E662" s="24">
        <f>SUM(E663,E665)</f>
        <v>16600</v>
      </c>
      <c r="F662" s="21">
        <f t="shared" si="12"/>
        <v>6412078</v>
      </c>
    </row>
    <row r="663" spans="1:6" s="22" customFormat="1" ht="78.75">
      <c r="A663" s="29" t="s">
        <v>80</v>
      </c>
      <c r="B663" s="20" t="s">
        <v>453</v>
      </c>
      <c r="C663" s="30" t="s">
        <v>81</v>
      </c>
      <c r="D663" s="24">
        <f>D664</f>
        <v>5854880</v>
      </c>
      <c r="E663" s="24">
        <f>E664</f>
        <v>-125476</v>
      </c>
      <c r="F663" s="21">
        <f t="shared" si="12"/>
        <v>5729404</v>
      </c>
    </row>
    <row r="664" spans="1:6" s="22" customFormat="1" ht="31.5">
      <c r="A664" s="29" t="s">
        <v>82</v>
      </c>
      <c r="B664" s="20" t="s">
        <v>453</v>
      </c>
      <c r="C664" s="30" t="s">
        <v>83</v>
      </c>
      <c r="D664" s="24">
        <v>5854880</v>
      </c>
      <c r="E664" s="24">
        <v>-125476</v>
      </c>
      <c r="F664" s="21">
        <f t="shared" si="12"/>
        <v>5729404</v>
      </c>
    </row>
    <row r="665" spans="1:6" s="22" customFormat="1" ht="31.5">
      <c r="A665" s="26" t="s">
        <v>27</v>
      </c>
      <c r="B665" s="20" t="s">
        <v>453</v>
      </c>
      <c r="C665" s="30" t="s">
        <v>84</v>
      </c>
      <c r="D665" s="21">
        <f>D666</f>
        <v>540598</v>
      </c>
      <c r="E665" s="21">
        <f>E666</f>
        <v>142076</v>
      </c>
      <c r="F665" s="21">
        <f t="shared" si="12"/>
        <v>682674</v>
      </c>
    </row>
    <row r="666" spans="1:6" s="22" customFormat="1" ht="31.5">
      <c r="A666" s="26" t="s">
        <v>28</v>
      </c>
      <c r="B666" s="20" t="s">
        <v>453</v>
      </c>
      <c r="C666" s="30" t="s">
        <v>85</v>
      </c>
      <c r="D666" s="21">
        <v>540598</v>
      </c>
      <c r="E666" s="21">
        <f>125476+16600</f>
        <v>142076</v>
      </c>
      <c r="F666" s="21">
        <f t="shared" si="12"/>
        <v>682674</v>
      </c>
    </row>
    <row r="667" spans="1:6" s="14" customFormat="1" ht="31.5">
      <c r="A667" s="23" t="s">
        <v>454</v>
      </c>
      <c r="B667" s="20" t="s">
        <v>455</v>
      </c>
      <c r="C667" s="20"/>
      <c r="D667" s="21">
        <f>SUM(D668,D670,D672)</f>
        <v>35604060</v>
      </c>
      <c r="E667" s="21">
        <f>SUM(E668,E670,E672)</f>
        <v>0</v>
      </c>
      <c r="F667" s="21">
        <f t="shared" si="12"/>
        <v>35604060</v>
      </c>
    </row>
    <row r="668" spans="1:6" s="14" customFormat="1" ht="78.75">
      <c r="A668" s="29" t="s">
        <v>80</v>
      </c>
      <c r="B668" s="20" t="s">
        <v>455</v>
      </c>
      <c r="C668" s="30" t="s">
        <v>81</v>
      </c>
      <c r="D668" s="21">
        <f>D669</f>
        <v>30821060</v>
      </c>
      <c r="E668" s="21">
        <f>E669</f>
        <v>1733635</v>
      </c>
      <c r="F668" s="21">
        <f t="shared" si="12"/>
        <v>32554695</v>
      </c>
    </row>
    <row r="669" spans="1:6" s="14" customFormat="1" ht="31.5">
      <c r="A669" s="29" t="s">
        <v>82</v>
      </c>
      <c r="B669" s="20" t="s">
        <v>455</v>
      </c>
      <c r="C669" s="30" t="s">
        <v>83</v>
      </c>
      <c r="D669" s="21">
        <v>30821060</v>
      </c>
      <c r="E669" s="21">
        <v>1733635</v>
      </c>
      <c r="F669" s="21">
        <f t="shared" si="12"/>
        <v>32554695</v>
      </c>
    </row>
    <row r="670" spans="1:6" s="14" customFormat="1" ht="31.5">
      <c r="A670" s="26" t="s">
        <v>27</v>
      </c>
      <c r="B670" s="20" t="s">
        <v>455</v>
      </c>
      <c r="C670" s="30" t="s">
        <v>84</v>
      </c>
      <c r="D670" s="21">
        <f>D671</f>
        <v>4773000</v>
      </c>
      <c r="E670" s="21">
        <f>E671</f>
        <v>-1733635</v>
      </c>
      <c r="F670" s="21">
        <f t="shared" si="12"/>
        <v>3039365</v>
      </c>
    </row>
    <row r="671" spans="1:7" s="14" customFormat="1" ht="31.5">
      <c r="A671" s="26" t="s">
        <v>28</v>
      </c>
      <c r="B671" s="20" t="s">
        <v>455</v>
      </c>
      <c r="C671" s="30" t="s">
        <v>85</v>
      </c>
      <c r="D671" s="21">
        <v>4773000</v>
      </c>
      <c r="E671" s="21">
        <v>-1733635</v>
      </c>
      <c r="F671" s="21">
        <f t="shared" si="12"/>
        <v>3039365</v>
      </c>
      <c r="G671" s="22"/>
    </row>
    <row r="672" spans="1:7" s="14" customFormat="1" ht="15.75">
      <c r="A672" s="26" t="s">
        <v>17</v>
      </c>
      <c r="B672" s="20" t="s">
        <v>455</v>
      </c>
      <c r="C672" s="30" t="s">
        <v>86</v>
      </c>
      <c r="D672" s="21">
        <f>D673</f>
        <v>10000</v>
      </c>
      <c r="E672" s="21">
        <f>E673</f>
        <v>0</v>
      </c>
      <c r="F672" s="21">
        <f t="shared" si="12"/>
        <v>10000</v>
      </c>
      <c r="G672" s="22"/>
    </row>
    <row r="673" spans="1:7" s="14" customFormat="1" ht="15.75">
      <c r="A673" s="26" t="s">
        <v>87</v>
      </c>
      <c r="B673" s="20" t="s">
        <v>455</v>
      </c>
      <c r="C673" s="30" t="s">
        <v>88</v>
      </c>
      <c r="D673" s="21">
        <v>10000</v>
      </c>
      <c r="E673" s="21">
        <v>0</v>
      </c>
      <c r="F673" s="21">
        <f t="shared" si="12"/>
        <v>10000</v>
      </c>
      <c r="G673" s="22"/>
    </row>
    <row r="674" spans="1:7" s="14" customFormat="1" ht="31.5">
      <c r="A674" s="23" t="s">
        <v>456</v>
      </c>
      <c r="B674" s="20" t="s">
        <v>457</v>
      </c>
      <c r="C674" s="20"/>
      <c r="D674" s="21">
        <f>SUM(D675,D677,D679)</f>
        <v>13862200</v>
      </c>
      <c r="E674" s="21">
        <f>SUM(E675,E677,E679)</f>
        <v>0</v>
      </c>
      <c r="F674" s="21">
        <f t="shared" si="12"/>
        <v>13862200</v>
      </c>
      <c r="G674" s="22"/>
    </row>
    <row r="675" spans="1:7" s="14" customFormat="1" ht="78.75">
      <c r="A675" s="29" t="s">
        <v>80</v>
      </c>
      <c r="B675" s="20" t="s">
        <v>457</v>
      </c>
      <c r="C675" s="30" t="s">
        <v>81</v>
      </c>
      <c r="D675" s="24">
        <f>D676</f>
        <v>10944000</v>
      </c>
      <c r="E675" s="24">
        <f>E676</f>
        <v>0</v>
      </c>
      <c r="F675" s="21">
        <f t="shared" si="12"/>
        <v>10944000</v>
      </c>
      <c r="G675" s="22"/>
    </row>
    <row r="676" spans="1:7" s="14" customFormat="1" ht="31.5">
      <c r="A676" s="29" t="s">
        <v>82</v>
      </c>
      <c r="B676" s="20" t="s">
        <v>457</v>
      </c>
      <c r="C676" s="30" t="s">
        <v>83</v>
      </c>
      <c r="D676" s="24">
        <v>10944000</v>
      </c>
      <c r="E676" s="24">
        <v>0</v>
      </c>
      <c r="F676" s="21">
        <f t="shared" si="12"/>
        <v>10944000</v>
      </c>
      <c r="G676" s="22"/>
    </row>
    <row r="677" spans="1:6" s="22" customFormat="1" ht="31.5">
      <c r="A677" s="26" t="s">
        <v>27</v>
      </c>
      <c r="B677" s="20" t="s">
        <v>457</v>
      </c>
      <c r="C677" s="30" t="s">
        <v>84</v>
      </c>
      <c r="D677" s="24">
        <f>D678</f>
        <v>2868200</v>
      </c>
      <c r="E677" s="24">
        <f>E678</f>
        <v>0</v>
      </c>
      <c r="F677" s="21">
        <f t="shared" si="12"/>
        <v>2868200</v>
      </c>
    </row>
    <row r="678" spans="1:6" s="22" customFormat="1" ht="31.5">
      <c r="A678" s="26" t="s">
        <v>28</v>
      </c>
      <c r="B678" s="20" t="s">
        <v>457</v>
      </c>
      <c r="C678" s="30" t="s">
        <v>85</v>
      </c>
      <c r="D678" s="24">
        <v>2868200</v>
      </c>
      <c r="E678" s="24">
        <v>0</v>
      </c>
      <c r="F678" s="21">
        <f t="shared" si="12"/>
        <v>2868200</v>
      </c>
    </row>
    <row r="679" spans="1:6" s="22" customFormat="1" ht="15.75">
      <c r="A679" s="26" t="s">
        <v>17</v>
      </c>
      <c r="B679" s="20" t="s">
        <v>457</v>
      </c>
      <c r="C679" s="30" t="s">
        <v>86</v>
      </c>
      <c r="D679" s="24">
        <f>D680</f>
        <v>50000</v>
      </c>
      <c r="E679" s="24">
        <f>E680</f>
        <v>0</v>
      </c>
      <c r="F679" s="21">
        <f t="shared" si="12"/>
        <v>50000</v>
      </c>
    </row>
    <row r="680" spans="1:6" s="22" customFormat="1" ht="15.75">
      <c r="A680" s="26" t="s">
        <v>87</v>
      </c>
      <c r="B680" s="20" t="s">
        <v>457</v>
      </c>
      <c r="C680" s="30" t="s">
        <v>88</v>
      </c>
      <c r="D680" s="24">
        <v>50000</v>
      </c>
      <c r="E680" s="24">
        <v>0</v>
      </c>
      <c r="F680" s="21">
        <f t="shared" si="12"/>
        <v>50000</v>
      </c>
    </row>
    <row r="681" spans="1:6" s="22" customFormat="1" ht="47.25">
      <c r="A681" s="23" t="s">
        <v>458</v>
      </c>
      <c r="B681" s="20" t="s">
        <v>459</v>
      </c>
      <c r="C681" s="20"/>
      <c r="D681" s="21">
        <f>SUM(D682,D684,D686)</f>
        <v>195100000</v>
      </c>
      <c r="E681" s="21">
        <f>SUM(E682,E684,E686)</f>
        <v>6675239</v>
      </c>
      <c r="F681" s="21">
        <f t="shared" si="12"/>
        <v>201775239</v>
      </c>
    </row>
    <row r="682" spans="1:6" s="22" customFormat="1" ht="78.75">
      <c r="A682" s="29" t="s">
        <v>80</v>
      </c>
      <c r="B682" s="20" t="s">
        <v>459</v>
      </c>
      <c r="C682" s="30" t="s">
        <v>81</v>
      </c>
      <c r="D682" s="21">
        <f>D683</f>
        <v>183500000</v>
      </c>
      <c r="E682" s="21">
        <f>E683</f>
        <v>4490800</v>
      </c>
      <c r="F682" s="21">
        <f t="shared" si="12"/>
        <v>187990800</v>
      </c>
    </row>
    <row r="683" spans="1:6" s="22" customFormat="1" ht="31.5">
      <c r="A683" s="29" t="s">
        <v>82</v>
      </c>
      <c r="B683" s="20" t="s">
        <v>459</v>
      </c>
      <c r="C683" s="30" t="s">
        <v>83</v>
      </c>
      <c r="D683" s="21">
        <v>183500000</v>
      </c>
      <c r="E683" s="27">
        <f>-19000-200000-400000-4000+5113800</f>
        <v>4490800</v>
      </c>
      <c r="F683" s="21">
        <f t="shared" si="12"/>
        <v>187990800</v>
      </c>
    </row>
    <row r="684" spans="1:6" s="22" customFormat="1" ht="31.5">
      <c r="A684" s="26" t="s">
        <v>27</v>
      </c>
      <c r="B684" s="20" t="s">
        <v>459</v>
      </c>
      <c r="C684" s="30" t="s">
        <v>84</v>
      </c>
      <c r="D684" s="21">
        <f>D685</f>
        <v>11500000</v>
      </c>
      <c r="E684" s="21">
        <f>E685</f>
        <v>2184439</v>
      </c>
      <c r="F684" s="21">
        <f t="shared" si="12"/>
        <v>13684439</v>
      </c>
    </row>
    <row r="685" spans="1:7" s="14" customFormat="1" ht="31.5">
      <c r="A685" s="26" t="s">
        <v>28</v>
      </c>
      <c r="B685" s="20" t="s">
        <v>459</v>
      </c>
      <c r="C685" s="30" t="s">
        <v>85</v>
      </c>
      <c r="D685" s="21">
        <v>11500000</v>
      </c>
      <c r="E685" s="21">
        <f>19000+252155.02+1132420+400000+323999.98+1412411+600000-1955547</f>
        <v>2184439</v>
      </c>
      <c r="F685" s="21">
        <f t="shared" si="12"/>
        <v>13684439</v>
      </c>
      <c r="G685" s="22"/>
    </row>
    <row r="686" spans="1:7" s="14" customFormat="1" ht="15.75">
      <c r="A686" s="26" t="s">
        <v>17</v>
      </c>
      <c r="B686" s="20" t="s">
        <v>459</v>
      </c>
      <c r="C686" s="30" t="s">
        <v>86</v>
      </c>
      <c r="D686" s="21">
        <f>D687</f>
        <v>100000</v>
      </c>
      <c r="E686" s="21">
        <f>E687</f>
        <v>0</v>
      </c>
      <c r="F686" s="21">
        <f t="shared" si="12"/>
        <v>100000</v>
      </c>
      <c r="G686" s="22"/>
    </row>
    <row r="687" spans="1:7" s="14" customFormat="1" ht="15.75">
      <c r="A687" s="26" t="s">
        <v>87</v>
      </c>
      <c r="B687" s="20" t="s">
        <v>459</v>
      </c>
      <c r="C687" s="30" t="s">
        <v>88</v>
      </c>
      <c r="D687" s="21">
        <v>100000</v>
      </c>
      <c r="E687" s="21">
        <v>0</v>
      </c>
      <c r="F687" s="21">
        <f t="shared" si="12"/>
        <v>100000</v>
      </c>
      <c r="G687" s="22"/>
    </row>
    <row r="688" spans="1:6" s="22" customFormat="1" ht="31.5">
      <c r="A688" s="23" t="s">
        <v>460</v>
      </c>
      <c r="B688" s="20" t="s">
        <v>461</v>
      </c>
      <c r="C688" s="20"/>
      <c r="D688" s="21">
        <f>SUM(D689,D691,D693)</f>
        <v>31616000</v>
      </c>
      <c r="E688" s="21">
        <f>SUM(E689,E691,E693)</f>
        <v>0</v>
      </c>
      <c r="F688" s="21">
        <f t="shared" si="12"/>
        <v>31616000</v>
      </c>
    </row>
    <row r="689" spans="1:6" s="22" customFormat="1" ht="78.75">
      <c r="A689" s="29" t="s">
        <v>80</v>
      </c>
      <c r="B689" s="20" t="s">
        <v>461</v>
      </c>
      <c r="C689" s="30" t="s">
        <v>81</v>
      </c>
      <c r="D689" s="21">
        <f>D690</f>
        <v>27856000</v>
      </c>
      <c r="E689" s="21">
        <f>E690</f>
        <v>176000</v>
      </c>
      <c r="F689" s="21">
        <f t="shared" si="12"/>
        <v>28032000</v>
      </c>
    </row>
    <row r="690" spans="1:6" s="22" customFormat="1" ht="31.5">
      <c r="A690" s="29" t="s">
        <v>82</v>
      </c>
      <c r="B690" s="20" t="s">
        <v>461</v>
      </c>
      <c r="C690" s="30" t="s">
        <v>83</v>
      </c>
      <c r="D690" s="21">
        <v>27856000</v>
      </c>
      <c r="E690" s="21">
        <v>176000</v>
      </c>
      <c r="F690" s="21">
        <f t="shared" si="12"/>
        <v>28032000</v>
      </c>
    </row>
    <row r="691" spans="1:6" s="22" customFormat="1" ht="31.5">
      <c r="A691" s="26" t="s">
        <v>27</v>
      </c>
      <c r="B691" s="20" t="s">
        <v>461</v>
      </c>
      <c r="C691" s="30" t="s">
        <v>84</v>
      </c>
      <c r="D691" s="21">
        <f>D692</f>
        <v>3700000</v>
      </c>
      <c r="E691" s="21">
        <f>E692</f>
        <v>-176000</v>
      </c>
      <c r="F691" s="21">
        <f t="shared" si="12"/>
        <v>3524000</v>
      </c>
    </row>
    <row r="692" spans="1:6" s="22" customFormat="1" ht="31.5">
      <c r="A692" s="26" t="s">
        <v>28</v>
      </c>
      <c r="B692" s="20" t="s">
        <v>461</v>
      </c>
      <c r="C692" s="30" t="s">
        <v>85</v>
      </c>
      <c r="D692" s="21">
        <v>3700000</v>
      </c>
      <c r="E692" s="21">
        <v>-176000</v>
      </c>
      <c r="F692" s="21">
        <f t="shared" si="12"/>
        <v>3524000</v>
      </c>
    </row>
    <row r="693" spans="1:6" s="22" customFormat="1" ht="15.75">
      <c r="A693" s="26" t="s">
        <v>17</v>
      </c>
      <c r="B693" s="20" t="s">
        <v>461</v>
      </c>
      <c r="C693" s="30" t="s">
        <v>86</v>
      </c>
      <c r="D693" s="21">
        <f>D694</f>
        <v>60000</v>
      </c>
      <c r="E693" s="21">
        <f>E694</f>
        <v>0</v>
      </c>
      <c r="F693" s="21">
        <f t="shared" si="12"/>
        <v>60000</v>
      </c>
    </row>
    <row r="694" spans="1:6" s="22" customFormat="1" ht="15.75">
      <c r="A694" s="26" t="s">
        <v>87</v>
      </c>
      <c r="B694" s="20" t="s">
        <v>461</v>
      </c>
      <c r="C694" s="30" t="s">
        <v>88</v>
      </c>
      <c r="D694" s="21">
        <v>60000</v>
      </c>
      <c r="E694" s="21">
        <v>0</v>
      </c>
      <c r="F694" s="21">
        <f t="shared" si="12"/>
        <v>60000</v>
      </c>
    </row>
    <row r="695" spans="1:6" s="22" customFormat="1" ht="47.25">
      <c r="A695" s="26" t="s">
        <v>462</v>
      </c>
      <c r="B695" s="20" t="s">
        <v>463</v>
      </c>
      <c r="C695" s="20"/>
      <c r="D695" s="21">
        <f>D696+D698+D700</f>
        <v>29922000</v>
      </c>
      <c r="E695" s="21">
        <f>E696+E698+E700</f>
        <v>137589</v>
      </c>
      <c r="F695" s="21">
        <f t="shared" si="12"/>
        <v>30059589</v>
      </c>
    </row>
    <row r="696" spans="1:6" s="14" customFormat="1" ht="78.75">
      <c r="A696" s="29" t="s">
        <v>80</v>
      </c>
      <c r="B696" s="20" t="s">
        <v>463</v>
      </c>
      <c r="C696" s="20">
        <v>100</v>
      </c>
      <c r="D696" s="21">
        <f>D697</f>
        <v>17900000</v>
      </c>
      <c r="E696" s="21">
        <f>E697</f>
        <v>1600000</v>
      </c>
      <c r="F696" s="21">
        <f t="shared" si="12"/>
        <v>19500000</v>
      </c>
    </row>
    <row r="697" spans="1:6" s="14" customFormat="1" ht="31.5">
      <c r="A697" s="29" t="s">
        <v>82</v>
      </c>
      <c r="B697" s="20" t="s">
        <v>463</v>
      </c>
      <c r="C697" s="20">
        <v>120</v>
      </c>
      <c r="D697" s="21">
        <v>17900000</v>
      </c>
      <c r="E697" s="27">
        <v>1600000</v>
      </c>
      <c r="F697" s="21">
        <f t="shared" si="12"/>
        <v>19500000</v>
      </c>
    </row>
    <row r="698" spans="1:6" s="14" customFormat="1" ht="31.5">
      <c r="A698" s="26" t="s">
        <v>27</v>
      </c>
      <c r="B698" s="20" t="s">
        <v>463</v>
      </c>
      <c r="C698" s="20">
        <v>200</v>
      </c>
      <c r="D698" s="21">
        <f>D699</f>
        <v>12000000</v>
      </c>
      <c r="E698" s="21">
        <f>E699</f>
        <v>-1462411</v>
      </c>
      <c r="F698" s="21">
        <f t="shared" si="12"/>
        <v>10537589</v>
      </c>
    </row>
    <row r="699" spans="1:6" s="22" customFormat="1" ht="31.5">
      <c r="A699" s="26" t="s">
        <v>28</v>
      </c>
      <c r="B699" s="20" t="s">
        <v>463</v>
      </c>
      <c r="C699" s="20">
        <v>240</v>
      </c>
      <c r="D699" s="21">
        <v>12000000</v>
      </c>
      <c r="E699" s="21">
        <f>-50000-1412411</f>
        <v>-1462411</v>
      </c>
      <c r="F699" s="21">
        <f t="shared" si="12"/>
        <v>10537589</v>
      </c>
    </row>
    <row r="700" spans="1:6" s="22" customFormat="1" ht="15.75">
      <c r="A700" s="26" t="s">
        <v>17</v>
      </c>
      <c r="B700" s="20" t="s">
        <v>463</v>
      </c>
      <c r="C700" s="20">
        <v>800</v>
      </c>
      <c r="D700" s="21">
        <f>D701</f>
        <v>22000</v>
      </c>
      <c r="E700" s="21">
        <f>E701</f>
        <v>0</v>
      </c>
      <c r="F700" s="21">
        <f t="shared" si="12"/>
        <v>22000</v>
      </c>
    </row>
    <row r="701" spans="1:6" s="14" customFormat="1" ht="15.75">
      <c r="A701" s="26" t="s">
        <v>87</v>
      </c>
      <c r="B701" s="20" t="s">
        <v>463</v>
      </c>
      <c r="C701" s="20">
        <v>850</v>
      </c>
      <c r="D701" s="21">
        <v>22000</v>
      </c>
      <c r="E701" s="21">
        <v>0</v>
      </c>
      <c r="F701" s="21">
        <f t="shared" si="12"/>
        <v>22000</v>
      </c>
    </row>
    <row r="702" spans="1:6" s="14" customFormat="1" ht="36" customHeight="1">
      <c r="A702" s="26" t="s">
        <v>464</v>
      </c>
      <c r="B702" s="20" t="s">
        <v>465</v>
      </c>
      <c r="C702" s="20"/>
      <c r="D702" s="21">
        <f>D703</f>
        <v>0</v>
      </c>
      <c r="E702" s="21">
        <f>E703</f>
        <v>2493139</v>
      </c>
      <c r="F702" s="21">
        <f t="shared" si="12"/>
        <v>2493139</v>
      </c>
    </row>
    <row r="703" spans="1:6" s="14" customFormat="1" ht="78.75">
      <c r="A703" s="29" t="s">
        <v>80</v>
      </c>
      <c r="B703" s="20" t="s">
        <v>465</v>
      </c>
      <c r="C703" s="30" t="s">
        <v>81</v>
      </c>
      <c r="D703" s="21">
        <f>D704</f>
        <v>0</v>
      </c>
      <c r="E703" s="21">
        <f>E704</f>
        <v>2493139</v>
      </c>
      <c r="F703" s="21">
        <f t="shared" si="12"/>
        <v>2493139</v>
      </c>
    </row>
    <row r="704" spans="1:6" s="14" customFormat="1" ht="31.5">
      <c r="A704" s="29" t="s">
        <v>82</v>
      </c>
      <c r="B704" s="20" t="s">
        <v>465</v>
      </c>
      <c r="C704" s="30" t="s">
        <v>83</v>
      </c>
      <c r="D704" s="21">
        <v>0</v>
      </c>
      <c r="E704" s="21">
        <v>2493139</v>
      </c>
      <c r="F704" s="21">
        <f t="shared" si="12"/>
        <v>2493139</v>
      </c>
    </row>
    <row r="705" spans="1:6" s="14" customFormat="1" ht="31.5">
      <c r="A705" s="26" t="s">
        <v>466</v>
      </c>
      <c r="B705" s="20" t="s">
        <v>467</v>
      </c>
      <c r="C705" s="30"/>
      <c r="D705" s="21">
        <f>D706+D708</f>
        <v>4608050</v>
      </c>
      <c r="E705" s="21">
        <f>E706+E708</f>
        <v>0</v>
      </c>
      <c r="F705" s="21">
        <f t="shared" si="12"/>
        <v>4608050</v>
      </c>
    </row>
    <row r="706" spans="1:6" s="14" customFormat="1" ht="78.75">
      <c r="A706" s="29" t="s">
        <v>80</v>
      </c>
      <c r="B706" s="20" t="s">
        <v>467</v>
      </c>
      <c r="C706" s="30" t="s">
        <v>81</v>
      </c>
      <c r="D706" s="21">
        <f>D707</f>
        <v>3639050</v>
      </c>
      <c r="E706" s="21">
        <f>E707</f>
        <v>121619.72</v>
      </c>
      <c r="F706" s="21">
        <f t="shared" si="12"/>
        <v>3760669.72</v>
      </c>
    </row>
    <row r="707" spans="1:6" s="14" customFormat="1" ht="31.5">
      <c r="A707" s="29" t="s">
        <v>82</v>
      </c>
      <c r="B707" s="20" t="s">
        <v>467</v>
      </c>
      <c r="C707" s="30" t="s">
        <v>83</v>
      </c>
      <c r="D707" s="21">
        <v>3639050</v>
      </c>
      <c r="E707" s="21">
        <v>121619.72</v>
      </c>
      <c r="F707" s="21">
        <f t="shared" si="12"/>
        <v>3760669.72</v>
      </c>
    </row>
    <row r="708" spans="1:6" s="14" customFormat="1" ht="31.5">
      <c r="A708" s="26" t="s">
        <v>27</v>
      </c>
      <c r="B708" s="20" t="s">
        <v>467</v>
      </c>
      <c r="C708" s="30" t="s">
        <v>84</v>
      </c>
      <c r="D708" s="21">
        <f>D709</f>
        <v>969000</v>
      </c>
      <c r="E708" s="21">
        <f>E709</f>
        <v>-121619.72</v>
      </c>
      <c r="F708" s="21">
        <f t="shared" si="12"/>
        <v>847380.28</v>
      </c>
    </row>
    <row r="709" spans="1:6" s="14" customFormat="1" ht="31.5">
      <c r="A709" s="29" t="s">
        <v>28</v>
      </c>
      <c r="B709" s="20" t="s">
        <v>467</v>
      </c>
      <c r="C709" s="30" t="s">
        <v>85</v>
      </c>
      <c r="D709" s="21">
        <v>969000</v>
      </c>
      <c r="E709" s="21">
        <v>-121619.72</v>
      </c>
      <c r="F709" s="21">
        <f t="shared" si="12"/>
        <v>847380.28</v>
      </c>
    </row>
    <row r="710" spans="1:6" s="14" customFormat="1" ht="15.75">
      <c r="A710" s="23" t="s">
        <v>468</v>
      </c>
      <c r="B710" s="20" t="s">
        <v>469</v>
      </c>
      <c r="C710" s="20"/>
      <c r="D710" s="21">
        <f>SUM(D711,D714,D717)</f>
        <v>10000000</v>
      </c>
      <c r="E710" s="21">
        <f>SUM(E711,E714,E717)</f>
        <v>-205556.81</v>
      </c>
      <c r="F710" s="21">
        <f t="shared" si="12"/>
        <v>9794443.19</v>
      </c>
    </row>
    <row r="711" spans="1:6" s="14" customFormat="1" ht="15.75">
      <c r="A711" s="23" t="s">
        <v>470</v>
      </c>
      <c r="B711" s="20" t="s">
        <v>471</v>
      </c>
      <c r="C711" s="20"/>
      <c r="D711" s="21">
        <f>D712</f>
        <v>7200000</v>
      </c>
      <c r="E711" s="21">
        <f>E712</f>
        <v>-312400</v>
      </c>
      <c r="F711" s="21">
        <f t="shared" si="12"/>
        <v>6887600</v>
      </c>
    </row>
    <row r="712" spans="1:6" s="14" customFormat="1" ht="15.75">
      <c r="A712" s="26" t="s">
        <v>17</v>
      </c>
      <c r="B712" s="20" t="s">
        <v>471</v>
      </c>
      <c r="C712" s="20">
        <v>800</v>
      </c>
      <c r="D712" s="21">
        <f>D713</f>
        <v>7200000</v>
      </c>
      <c r="E712" s="21">
        <f>E713</f>
        <v>-312400</v>
      </c>
      <c r="F712" s="21">
        <f t="shared" si="12"/>
        <v>6887600</v>
      </c>
    </row>
    <row r="713" spans="1:6" s="14" customFormat="1" ht="15.75">
      <c r="A713" s="23" t="s">
        <v>472</v>
      </c>
      <c r="B713" s="20" t="s">
        <v>471</v>
      </c>
      <c r="C713" s="20">
        <v>870</v>
      </c>
      <c r="D713" s="21">
        <v>7200000</v>
      </c>
      <c r="E713" s="21">
        <v>-312400</v>
      </c>
      <c r="F713" s="21">
        <f t="shared" si="12"/>
        <v>6887600</v>
      </c>
    </row>
    <row r="714" spans="1:6" s="14" customFormat="1" ht="47.25">
      <c r="A714" s="23" t="s">
        <v>473</v>
      </c>
      <c r="B714" s="20" t="s">
        <v>474</v>
      </c>
      <c r="C714" s="20"/>
      <c r="D714" s="21">
        <f>D715</f>
        <v>2800000</v>
      </c>
      <c r="E714" s="21">
        <f>E715</f>
        <v>-205556.81</v>
      </c>
      <c r="F714" s="21">
        <f t="shared" si="12"/>
        <v>2594443.19</v>
      </c>
    </row>
    <row r="715" spans="1:6" s="14" customFormat="1" ht="15.75">
      <c r="A715" s="26" t="s">
        <v>17</v>
      </c>
      <c r="B715" s="20" t="s">
        <v>474</v>
      </c>
      <c r="C715" s="20">
        <v>800</v>
      </c>
      <c r="D715" s="21">
        <f>D716</f>
        <v>2800000</v>
      </c>
      <c r="E715" s="21">
        <f>E716</f>
        <v>-205556.81</v>
      </c>
      <c r="F715" s="21">
        <f t="shared" si="12"/>
        <v>2594443.19</v>
      </c>
    </row>
    <row r="716" spans="1:6" s="14" customFormat="1" ht="15.75">
      <c r="A716" s="23" t="s">
        <v>472</v>
      </c>
      <c r="B716" s="20" t="s">
        <v>474</v>
      </c>
      <c r="C716" s="20">
        <v>870</v>
      </c>
      <c r="D716" s="21">
        <v>2800000</v>
      </c>
      <c r="E716" s="21">
        <v>-205556.81</v>
      </c>
      <c r="F716" s="21">
        <f t="shared" si="12"/>
        <v>2594443.19</v>
      </c>
    </row>
    <row r="717" spans="1:6" s="14" customFormat="1" ht="31.5">
      <c r="A717" s="23" t="s">
        <v>475</v>
      </c>
      <c r="B717" s="20" t="s">
        <v>476</v>
      </c>
      <c r="C717" s="20"/>
      <c r="D717" s="21">
        <f>D718</f>
        <v>0</v>
      </c>
      <c r="E717" s="21">
        <f>E718</f>
        <v>312400</v>
      </c>
      <c r="F717" s="21">
        <f t="shared" si="12"/>
        <v>312400</v>
      </c>
    </row>
    <row r="718" spans="1:6" s="14" customFormat="1" ht="31.5">
      <c r="A718" s="26" t="s">
        <v>27</v>
      </c>
      <c r="B718" s="20" t="s">
        <v>476</v>
      </c>
      <c r="C718" s="20">
        <v>200</v>
      </c>
      <c r="D718" s="21">
        <f>D719</f>
        <v>0</v>
      </c>
      <c r="E718" s="21">
        <f>E719</f>
        <v>312400</v>
      </c>
      <c r="F718" s="21">
        <f t="shared" si="12"/>
        <v>312400</v>
      </c>
    </row>
    <row r="719" spans="1:6" s="14" customFormat="1" ht="31.5">
      <c r="A719" s="26" t="s">
        <v>28</v>
      </c>
      <c r="B719" s="20" t="s">
        <v>476</v>
      </c>
      <c r="C719" s="20">
        <v>240</v>
      </c>
      <c r="D719" s="21">
        <v>0</v>
      </c>
      <c r="E719" s="21">
        <v>312400</v>
      </c>
      <c r="F719" s="21">
        <f t="shared" si="12"/>
        <v>312400</v>
      </c>
    </row>
    <row r="720" spans="1:6" s="14" customFormat="1" ht="35.25" customHeight="1">
      <c r="A720" s="52" t="s">
        <v>477</v>
      </c>
      <c r="B720" s="53" t="s">
        <v>478</v>
      </c>
      <c r="C720" s="53"/>
      <c r="D720" s="21">
        <f>D721+D724+D727+D730+D733+D738+D741+D744+D747+D753+D750+D756+D759+D762</f>
        <v>231446553</v>
      </c>
      <c r="E720" s="21">
        <f>E721+E724+E727+E730+E733+E738+E741+E744+E747+E753+E750+E756+E759+E762</f>
        <v>-5797869.14999998</v>
      </c>
      <c r="F720" s="21">
        <f t="shared" si="12"/>
        <v>225648683.85000002</v>
      </c>
    </row>
    <row r="721" spans="1:7" s="14" customFormat="1" ht="47.25">
      <c r="A721" s="23" t="s">
        <v>479</v>
      </c>
      <c r="B721" s="20" t="s">
        <v>480</v>
      </c>
      <c r="C721" s="20"/>
      <c r="D721" s="21">
        <f>D722</f>
        <v>400000</v>
      </c>
      <c r="E721" s="21">
        <f>E722</f>
        <v>750000</v>
      </c>
      <c r="F721" s="21">
        <f t="shared" si="12"/>
        <v>1150000</v>
      </c>
      <c r="G721" s="22"/>
    </row>
    <row r="722" spans="1:7" s="14" customFormat="1" ht="31.5">
      <c r="A722" s="26" t="s">
        <v>27</v>
      </c>
      <c r="B722" s="20" t="s">
        <v>480</v>
      </c>
      <c r="C722" s="20">
        <v>200</v>
      </c>
      <c r="D722" s="21">
        <f>D723</f>
        <v>400000</v>
      </c>
      <c r="E722" s="21">
        <f>E723</f>
        <v>750000</v>
      </c>
      <c r="F722" s="21">
        <f t="shared" si="12"/>
        <v>1150000</v>
      </c>
      <c r="G722" s="22"/>
    </row>
    <row r="723" spans="1:7" s="14" customFormat="1" ht="31.5">
      <c r="A723" s="26" t="s">
        <v>28</v>
      </c>
      <c r="B723" s="20" t="s">
        <v>480</v>
      </c>
      <c r="C723" s="20">
        <v>240</v>
      </c>
      <c r="D723" s="21">
        <v>400000</v>
      </c>
      <c r="E723" s="27">
        <f>200000+50000+500000</f>
        <v>750000</v>
      </c>
      <c r="F723" s="21">
        <f t="shared" si="12"/>
        <v>1150000</v>
      </c>
      <c r="G723" s="22"/>
    </row>
    <row r="724" spans="1:6" s="22" customFormat="1" ht="47.25">
      <c r="A724" s="23" t="s">
        <v>481</v>
      </c>
      <c r="B724" s="20" t="s">
        <v>482</v>
      </c>
      <c r="C724" s="20"/>
      <c r="D724" s="21">
        <f>D725</f>
        <v>3050000</v>
      </c>
      <c r="E724" s="21">
        <f>E725</f>
        <v>737500</v>
      </c>
      <c r="F724" s="21">
        <f t="shared" si="12"/>
        <v>3787500</v>
      </c>
    </row>
    <row r="725" spans="1:6" s="22" customFormat="1" ht="31.5">
      <c r="A725" s="26" t="s">
        <v>27</v>
      </c>
      <c r="B725" s="20" t="s">
        <v>482</v>
      </c>
      <c r="C725" s="20">
        <v>200</v>
      </c>
      <c r="D725" s="21">
        <f>D726</f>
        <v>3050000</v>
      </c>
      <c r="E725" s="21">
        <f>E726</f>
        <v>737500</v>
      </c>
      <c r="F725" s="21">
        <f t="shared" si="12"/>
        <v>3787500</v>
      </c>
    </row>
    <row r="726" spans="1:6" s="22" customFormat="1" ht="31.5">
      <c r="A726" s="26" t="s">
        <v>28</v>
      </c>
      <c r="B726" s="20" t="s">
        <v>482</v>
      </c>
      <c r="C726" s="20">
        <v>240</v>
      </c>
      <c r="D726" s="21">
        <v>3050000</v>
      </c>
      <c r="E726" s="21">
        <v>737500</v>
      </c>
      <c r="F726" s="21">
        <f t="shared" si="12"/>
        <v>3787500</v>
      </c>
    </row>
    <row r="727" spans="1:7" s="14" customFormat="1" ht="15.75">
      <c r="A727" s="23" t="s">
        <v>483</v>
      </c>
      <c r="B727" s="20" t="s">
        <v>484</v>
      </c>
      <c r="C727" s="20"/>
      <c r="D727" s="21">
        <f>D728</f>
        <v>34723875</v>
      </c>
      <c r="E727" s="21">
        <f>E728</f>
        <v>-28493213.65</v>
      </c>
      <c r="F727" s="21">
        <f t="shared" si="12"/>
        <v>6230661.3500000015</v>
      </c>
      <c r="G727" s="22"/>
    </row>
    <row r="728" spans="1:7" s="14" customFormat="1" ht="15.75">
      <c r="A728" s="23" t="s">
        <v>485</v>
      </c>
      <c r="B728" s="20" t="s">
        <v>484</v>
      </c>
      <c r="C728" s="20">
        <v>700</v>
      </c>
      <c r="D728" s="21">
        <f>D729</f>
        <v>34723875</v>
      </c>
      <c r="E728" s="21">
        <f>E729</f>
        <v>-28493213.65</v>
      </c>
      <c r="F728" s="21">
        <f t="shared" si="12"/>
        <v>6230661.3500000015</v>
      </c>
      <c r="G728" s="22"/>
    </row>
    <row r="729" spans="1:7" s="14" customFormat="1" ht="15.75">
      <c r="A729" s="23" t="s">
        <v>486</v>
      </c>
      <c r="B729" s="20" t="s">
        <v>484</v>
      </c>
      <c r="C729" s="20">
        <v>730</v>
      </c>
      <c r="D729" s="21">
        <v>34723875</v>
      </c>
      <c r="E729" s="21">
        <f>-10900000-200000-5000000-325000-172414-808009.98-4169886.42-6952903.25+35000</f>
        <v>-28493213.65</v>
      </c>
      <c r="F729" s="21">
        <f t="shared" si="12"/>
        <v>6230661.3500000015</v>
      </c>
      <c r="G729" s="22"/>
    </row>
    <row r="730" spans="1:7" s="14" customFormat="1" ht="63">
      <c r="A730" s="23" t="s">
        <v>487</v>
      </c>
      <c r="B730" s="20" t="s">
        <v>488</v>
      </c>
      <c r="C730" s="20"/>
      <c r="D730" s="24">
        <f>D731</f>
        <v>20000000</v>
      </c>
      <c r="E730" s="24">
        <f>E731</f>
        <v>0</v>
      </c>
      <c r="F730" s="21">
        <f t="shared" si="12"/>
        <v>20000000</v>
      </c>
      <c r="G730" s="22"/>
    </row>
    <row r="731" spans="1:6" s="14" customFormat="1" ht="15.75">
      <c r="A731" s="23" t="s">
        <v>17</v>
      </c>
      <c r="B731" s="20" t="s">
        <v>488</v>
      </c>
      <c r="C731" s="20">
        <v>800</v>
      </c>
      <c r="D731" s="24">
        <f>D732</f>
        <v>20000000</v>
      </c>
      <c r="E731" s="24">
        <f>E732</f>
        <v>0</v>
      </c>
      <c r="F731" s="21">
        <f t="shared" si="12"/>
        <v>20000000</v>
      </c>
    </row>
    <row r="732" spans="1:7" s="14" customFormat="1" ht="63">
      <c r="A732" s="23" t="s">
        <v>18</v>
      </c>
      <c r="B732" s="20" t="s">
        <v>488</v>
      </c>
      <c r="C732" s="20">
        <v>810</v>
      </c>
      <c r="D732" s="24">
        <v>20000000</v>
      </c>
      <c r="E732" s="24">
        <v>0</v>
      </c>
      <c r="F732" s="21">
        <f t="shared" si="12"/>
        <v>20000000</v>
      </c>
      <c r="G732" s="22"/>
    </row>
    <row r="733" spans="1:7" s="14" customFormat="1" ht="15.75">
      <c r="A733" s="23" t="s">
        <v>489</v>
      </c>
      <c r="B733" s="20" t="s">
        <v>490</v>
      </c>
      <c r="C733" s="20"/>
      <c r="D733" s="21">
        <f>D736+D734</f>
        <v>170000000</v>
      </c>
      <c r="E733" s="21">
        <f>E736+E734</f>
        <v>-146794811.88</v>
      </c>
      <c r="F733" s="21">
        <f t="shared" si="12"/>
        <v>23205188.120000005</v>
      </c>
      <c r="G733" s="22"/>
    </row>
    <row r="734" spans="1:7" s="14" customFormat="1" ht="31.5">
      <c r="A734" s="26" t="s">
        <v>27</v>
      </c>
      <c r="B734" s="20" t="s">
        <v>490</v>
      </c>
      <c r="C734" s="20">
        <v>200</v>
      </c>
      <c r="D734" s="21">
        <f>D735</f>
        <v>0</v>
      </c>
      <c r="E734" s="21">
        <f>E735</f>
        <v>23205188.120000005</v>
      </c>
      <c r="F734" s="21">
        <f t="shared" si="12"/>
        <v>23205188.120000005</v>
      </c>
      <c r="G734" s="22"/>
    </row>
    <row r="735" spans="1:7" s="14" customFormat="1" ht="31.5">
      <c r="A735" s="26" t="s">
        <v>28</v>
      </c>
      <c r="B735" s="20" t="s">
        <v>490</v>
      </c>
      <c r="C735" s="20">
        <v>240</v>
      </c>
      <c r="D735" s="21">
        <v>0</v>
      </c>
      <c r="E735" s="21">
        <f>170000000-7914000-6715000-6970000-7864000-9826000-9127000-8300000-3900000-23286655.47-9565000-9610000-10535000-10000000-10810000-23156.41-12349000</f>
        <v>23205188.120000005</v>
      </c>
      <c r="F735" s="21">
        <f t="shared" si="12"/>
        <v>23205188.120000005</v>
      </c>
      <c r="G735" s="22"/>
    </row>
    <row r="736" spans="1:7" s="14" customFormat="1" ht="15.75">
      <c r="A736" s="26" t="s">
        <v>17</v>
      </c>
      <c r="B736" s="20" t="s">
        <v>490</v>
      </c>
      <c r="C736" s="20">
        <v>800</v>
      </c>
      <c r="D736" s="21">
        <f>D737</f>
        <v>170000000</v>
      </c>
      <c r="E736" s="21">
        <f>E737</f>
        <v>-170000000</v>
      </c>
      <c r="F736" s="21">
        <f t="shared" si="12"/>
        <v>0</v>
      </c>
      <c r="G736" s="22"/>
    </row>
    <row r="737" spans="1:7" s="14" customFormat="1" ht="63">
      <c r="A737" s="23" t="s">
        <v>18</v>
      </c>
      <c r="B737" s="20" t="s">
        <v>490</v>
      </c>
      <c r="C737" s="20">
        <v>810</v>
      </c>
      <c r="D737" s="21">
        <v>170000000</v>
      </c>
      <c r="E737" s="21">
        <v>-170000000</v>
      </c>
      <c r="F737" s="21">
        <f t="shared" si="12"/>
        <v>0</v>
      </c>
      <c r="G737" s="22"/>
    </row>
    <row r="738" spans="1:7" s="14" customFormat="1" ht="47.25">
      <c r="A738" s="23" t="s">
        <v>491</v>
      </c>
      <c r="B738" s="20" t="s">
        <v>492</v>
      </c>
      <c r="C738" s="20"/>
      <c r="D738" s="21">
        <f>D739</f>
        <v>250000</v>
      </c>
      <c r="E738" s="21">
        <f>E739</f>
        <v>0</v>
      </c>
      <c r="F738" s="21">
        <f t="shared" si="12"/>
        <v>250000</v>
      </c>
      <c r="G738" s="22"/>
    </row>
    <row r="739" spans="1:7" s="14" customFormat="1" ht="31.5">
      <c r="A739" s="23" t="s">
        <v>14</v>
      </c>
      <c r="B739" s="20" t="s">
        <v>492</v>
      </c>
      <c r="C739" s="20">
        <v>600</v>
      </c>
      <c r="D739" s="21">
        <f>D740</f>
        <v>250000</v>
      </c>
      <c r="E739" s="21">
        <f>E740</f>
        <v>0</v>
      </c>
      <c r="F739" s="21">
        <f t="shared" si="12"/>
        <v>250000</v>
      </c>
      <c r="G739" s="22"/>
    </row>
    <row r="740" spans="1:7" s="14" customFormat="1" ht="47.25">
      <c r="A740" s="23" t="s">
        <v>16</v>
      </c>
      <c r="B740" s="20" t="s">
        <v>492</v>
      </c>
      <c r="C740" s="20">
        <v>630</v>
      </c>
      <c r="D740" s="24">
        <v>250000</v>
      </c>
      <c r="E740" s="24">
        <v>0</v>
      </c>
      <c r="F740" s="21">
        <f t="shared" si="12"/>
        <v>250000</v>
      </c>
      <c r="G740" s="22"/>
    </row>
    <row r="741" spans="1:6" s="14" customFormat="1" ht="157.5">
      <c r="A741" s="23" t="s">
        <v>493</v>
      </c>
      <c r="B741" s="20" t="s">
        <v>494</v>
      </c>
      <c r="C741" s="20"/>
      <c r="D741" s="24">
        <f>D742</f>
        <v>500000</v>
      </c>
      <c r="E741" s="24">
        <f>E742</f>
        <v>0</v>
      </c>
      <c r="F741" s="21">
        <f t="shared" si="12"/>
        <v>500000</v>
      </c>
    </row>
    <row r="742" spans="1:6" s="14" customFormat="1" ht="31.5">
      <c r="A742" s="23" t="s">
        <v>14</v>
      </c>
      <c r="B742" s="20" t="s">
        <v>494</v>
      </c>
      <c r="C742" s="20">
        <v>600</v>
      </c>
      <c r="D742" s="24">
        <f>D743</f>
        <v>500000</v>
      </c>
      <c r="E742" s="24">
        <f>E743</f>
        <v>0</v>
      </c>
      <c r="F742" s="21">
        <f t="shared" si="12"/>
        <v>500000</v>
      </c>
    </row>
    <row r="743" spans="1:6" s="14" customFormat="1" ht="47.25">
      <c r="A743" s="23" t="s">
        <v>16</v>
      </c>
      <c r="B743" s="20" t="s">
        <v>494</v>
      </c>
      <c r="C743" s="20">
        <v>630</v>
      </c>
      <c r="D743" s="24">
        <v>500000</v>
      </c>
      <c r="E743" s="24">
        <v>0</v>
      </c>
      <c r="F743" s="21">
        <f t="shared" si="12"/>
        <v>500000</v>
      </c>
    </row>
    <row r="744" spans="1:6" s="14" customFormat="1" ht="63">
      <c r="A744" s="54" t="s">
        <v>495</v>
      </c>
      <c r="B744" s="20" t="s">
        <v>496</v>
      </c>
      <c r="C744" s="20"/>
      <c r="D744" s="21">
        <f>D745</f>
        <v>850000</v>
      </c>
      <c r="E744" s="21">
        <f>E745</f>
        <v>0</v>
      </c>
      <c r="F744" s="21">
        <f t="shared" si="12"/>
        <v>850000</v>
      </c>
    </row>
    <row r="745" spans="1:6" s="14" customFormat="1" ht="15.75">
      <c r="A745" s="26" t="s">
        <v>17</v>
      </c>
      <c r="B745" s="20" t="s">
        <v>496</v>
      </c>
      <c r="C745" s="20">
        <v>800</v>
      </c>
      <c r="D745" s="21">
        <f>D746</f>
        <v>850000</v>
      </c>
      <c r="E745" s="21">
        <f>E746</f>
        <v>0</v>
      </c>
      <c r="F745" s="21">
        <f t="shared" si="12"/>
        <v>850000</v>
      </c>
    </row>
    <row r="746" spans="1:6" s="14" customFormat="1" ht="15.75">
      <c r="A746" s="26" t="s">
        <v>87</v>
      </c>
      <c r="B746" s="20" t="s">
        <v>496</v>
      </c>
      <c r="C746" s="20">
        <v>850</v>
      </c>
      <c r="D746" s="24">
        <v>850000</v>
      </c>
      <c r="E746" s="24">
        <v>0</v>
      </c>
      <c r="F746" s="21">
        <f t="shared" si="12"/>
        <v>850000</v>
      </c>
    </row>
    <row r="747" spans="1:6" s="14" customFormat="1" ht="63">
      <c r="A747" s="23" t="s">
        <v>497</v>
      </c>
      <c r="B747" s="20" t="s">
        <v>498</v>
      </c>
      <c r="C747" s="20"/>
      <c r="D747" s="21">
        <f>D748</f>
        <v>984920</v>
      </c>
      <c r="E747" s="21">
        <f>E748</f>
        <v>-864920</v>
      </c>
      <c r="F747" s="21">
        <f t="shared" si="12"/>
        <v>120000</v>
      </c>
    </row>
    <row r="748" spans="1:6" s="14" customFormat="1" ht="31.5">
      <c r="A748" s="26" t="s">
        <v>27</v>
      </c>
      <c r="B748" s="20" t="s">
        <v>498</v>
      </c>
      <c r="C748" s="20">
        <v>200</v>
      </c>
      <c r="D748" s="21">
        <f>D749</f>
        <v>984920</v>
      </c>
      <c r="E748" s="21">
        <f>E749</f>
        <v>-864920</v>
      </c>
      <c r="F748" s="21">
        <f t="shared" si="12"/>
        <v>120000</v>
      </c>
    </row>
    <row r="749" spans="1:6" s="14" customFormat="1" ht="31.5">
      <c r="A749" s="26" t="s">
        <v>28</v>
      </c>
      <c r="B749" s="20" t="s">
        <v>498</v>
      </c>
      <c r="C749" s="20">
        <v>240</v>
      </c>
      <c r="D749" s="24">
        <v>984920</v>
      </c>
      <c r="E749" s="24">
        <f>-864920</f>
        <v>-864920</v>
      </c>
      <c r="F749" s="21">
        <f t="shared" si="12"/>
        <v>120000</v>
      </c>
    </row>
    <row r="750" spans="1:6" s="14" customFormat="1" ht="69" customHeight="1">
      <c r="A750" s="26" t="s">
        <v>499</v>
      </c>
      <c r="B750" s="20" t="s">
        <v>500</v>
      </c>
      <c r="C750" s="20"/>
      <c r="D750" s="24">
        <f>D751</f>
        <v>0</v>
      </c>
      <c r="E750" s="24">
        <f>E751</f>
        <v>143526560.79000002</v>
      </c>
      <c r="F750" s="21">
        <f t="shared" si="12"/>
        <v>143526560.79000002</v>
      </c>
    </row>
    <row r="751" spans="1:6" s="14" customFormat="1" ht="15.75">
      <c r="A751" s="26" t="s">
        <v>17</v>
      </c>
      <c r="B751" s="20" t="s">
        <v>500</v>
      </c>
      <c r="C751" s="20">
        <v>800</v>
      </c>
      <c r="D751" s="24">
        <f>D752</f>
        <v>0</v>
      </c>
      <c r="E751" s="24">
        <f>E752</f>
        <v>143526560.79000002</v>
      </c>
      <c r="F751" s="21">
        <f t="shared" si="12"/>
        <v>143526560.79000002</v>
      </c>
    </row>
    <row r="752" spans="1:6" s="14" customFormat="1" ht="63">
      <c r="A752" s="23" t="s">
        <v>18</v>
      </c>
      <c r="B752" s="20" t="s">
        <v>500</v>
      </c>
      <c r="C752" s="20">
        <v>810</v>
      </c>
      <c r="D752" s="24">
        <v>0</v>
      </c>
      <c r="E752" s="24">
        <f>7914000+6715000+6970000+300000+7864000+9826000+30322000+2400000+9127000+9565000+1200000+9610000+2000000+10535000+989316.79+10810000+1258869+269538.84+271592.16+12349000+300000+1830244+1100000</f>
        <v>143526560.79000002</v>
      </c>
      <c r="F752" s="21">
        <f t="shared" si="12"/>
        <v>143526560.79000002</v>
      </c>
    </row>
    <row r="753" spans="1:6" s="14" customFormat="1" ht="31.5">
      <c r="A753" s="52" t="s">
        <v>501</v>
      </c>
      <c r="B753" s="53" t="s">
        <v>502</v>
      </c>
      <c r="C753" s="53"/>
      <c r="D753" s="21">
        <f>D754</f>
        <v>687758</v>
      </c>
      <c r="E753" s="21">
        <f>E754</f>
        <v>242618</v>
      </c>
      <c r="F753" s="21">
        <f t="shared" si="12"/>
        <v>930376</v>
      </c>
    </row>
    <row r="754" spans="1:6" s="14" customFormat="1" ht="15.75">
      <c r="A754" s="52" t="s">
        <v>17</v>
      </c>
      <c r="B754" s="53" t="s">
        <v>502</v>
      </c>
      <c r="C754" s="53" t="s">
        <v>86</v>
      </c>
      <c r="D754" s="21">
        <f>D755</f>
        <v>687758</v>
      </c>
      <c r="E754" s="21">
        <f>E755</f>
        <v>242618</v>
      </c>
      <c r="F754" s="21">
        <f t="shared" si="12"/>
        <v>930376</v>
      </c>
    </row>
    <row r="755" spans="1:6" s="14" customFormat="1" ht="15.75">
      <c r="A755" s="52" t="s">
        <v>503</v>
      </c>
      <c r="B755" s="53" t="s">
        <v>502</v>
      </c>
      <c r="C755" s="53" t="s">
        <v>504</v>
      </c>
      <c r="D755" s="24">
        <v>687758</v>
      </c>
      <c r="E755" s="24">
        <f>35000+207618</f>
        <v>242618</v>
      </c>
      <c r="F755" s="21">
        <f t="shared" si="12"/>
        <v>930376</v>
      </c>
    </row>
    <row r="756" spans="1:6" s="14" customFormat="1" ht="33" customHeight="1">
      <c r="A756" s="52" t="s">
        <v>505</v>
      </c>
      <c r="B756" s="53" t="s">
        <v>506</v>
      </c>
      <c r="C756" s="53"/>
      <c r="D756" s="35">
        <f>D757</f>
        <v>0</v>
      </c>
      <c r="E756" s="35">
        <f>E757</f>
        <v>2616000</v>
      </c>
      <c r="F756" s="35">
        <f>F757</f>
        <v>2616000</v>
      </c>
    </row>
    <row r="757" spans="1:6" s="14" customFormat="1" ht="31.5">
      <c r="A757" s="23" t="s">
        <v>123</v>
      </c>
      <c r="B757" s="20" t="s">
        <v>506</v>
      </c>
      <c r="C757" s="20">
        <v>400</v>
      </c>
      <c r="D757" s="35">
        <f>D758</f>
        <v>0</v>
      </c>
      <c r="E757" s="35">
        <f>E758</f>
        <v>2616000</v>
      </c>
      <c r="F757" s="46">
        <f aca="true" t="shared" si="13" ref="F757:F832">SUM(D757:E757)</f>
        <v>2616000</v>
      </c>
    </row>
    <row r="758" spans="1:6" s="14" customFormat="1" ht="15.75">
      <c r="A758" s="23" t="s">
        <v>124</v>
      </c>
      <c r="B758" s="20" t="s">
        <v>506</v>
      </c>
      <c r="C758" s="20">
        <v>410</v>
      </c>
      <c r="D758" s="35"/>
      <c r="E758" s="35">
        <f>5110000-2494000</f>
        <v>2616000</v>
      </c>
      <c r="F758" s="46">
        <f t="shared" si="13"/>
        <v>2616000</v>
      </c>
    </row>
    <row r="759" spans="1:6" s="14" customFormat="1" ht="34.5" customHeight="1">
      <c r="A759" s="23" t="s">
        <v>507</v>
      </c>
      <c r="B759" s="20" t="s">
        <v>508</v>
      </c>
      <c r="C759" s="20"/>
      <c r="D759" s="35">
        <f>D760</f>
        <v>0</v>
      </c>
      <c r="E759" s="35">
        <f>E760</f>
        <v>22282397.59</v>
      </c>
      <c r="F759" s="46">
        <f t="shared" si="13"/>
        <v>22282397.59</v>
      </c>
    </row>
    <row r="760" spans="1:6" s="14" customFormat="1" ht="31.5">
      <c r="A760" s="26" t="s">
        <v>27</v>
      </c>
      <c r="B760" s="20" t="s">
        <v>508</v>
      </c>
      <c r="C760" s="20">
        <v>200</v>
      </c>
      <c r="D760" s="35">
        <f>D761</f>
        <v>0</v>
      </c>
      <c r="E760" s="35">
        <f>E761</f>
        <v>22282397.59</v>
      </c>
      <c r="F760" s="46">
        <f t="shared" si="13"/>
        <v>22282397.59</v>
      </c>
    </row>
    <row r="761" spans="1:6" s="14" customFormat="1" ht="31.5">
      <c r="A761" s="26" t="s">
        <v>28</v>
      </c>
      <c r="B761" s="20" t="s">
        <v>508</v>
      </c>
      <c r="C761" s="20">
        <v>240</v>
      </c>
      <c r="D761" s="35">
        <v>0</v>
      </c>
      <c r="E761" s="35">
        <f>12282397.59+10000000</f>
        <v>22282397.59</v>
      </c>
      <c r="F761" s="46">
        <f t="shared" si="13"/>
        <v>22282397.59</v>
      </c>
    </row>
    <row r="762" spans="1:6" s="14" customFormat="1" ht="47.25">
      <c r="A762" s="23" t="s">
        <v>509</v>
      </c>
      <c r="B762" s="20" t="s">
        <v>510</v>
      </c>
      <c r="C762" s="20"/>
      <c r="D762" s="27">
        <f>D763</f>
        <v>0</v>
      </c>
      <c r="E762" s="27">
        <f>E763</f>
        <v>200000</v>
      </c>
      <c r="F762" s="46">
        <f t="shared" si="13"/>
        <v>200000</v>
      </c>
    </row>
    <row r="763" spans="1:6" s="14" customFormat="1" ht="15.75">
      <c r="A763" s="26" t="s">
        <v>17</v>
      </c>
      <c r="B763" s="20" t="s">
        <v>510</v>
      </c>
      <c r="C763" s="20">
        <v>800</v>
      </c>
      <c r="D763" s="27">
        <f>D764</f>
        <v>0</v>
      </c>
      <c r="E763" s="27">
        <f>E764</f>
        <v>200000</v>
      </c>
      <c r="F763" s="46">
        <f t="shared" si="13"/>
        <v>200000</v>
      </c>
    </row>
    <row r="764" spans="1:6" s="14" customFormat="1" ht="15.75">
      <c r="A764" s="26" t="s">
        <v>87</v>
      </c>
      <c r="B764" s="20" t="s">
        <v>510</v>
      </c>
      <c r="C764" s="20">
        <v>850</v>
      </c>
      <c r="D764" s="27"/>
      <c r="E764" s="27">
        <v>200000</v>
      </c>
      <c r="F764" s="46">
        <f t="shared" si="13"/>
        <v>200000</v>
      </c>
    </row>
    <row r="765" spans="1:6" s="14" customFormat="1" ht="47.25">
      <c r="A765" s="23" t="s">
        <v>511</v>
      </c>
      <c r="B765" s="20" t="s">
        <v>512</v>
      </c>
      <c r="C765" s="20"/>
      <c r="D765" s="21">
        <f>D775+D778+D781+D784+D787+D790+D793+D766+D769+D772</f>
        <v>1252009284.35</v>
      </c>
      <c r="E765" s="21">
        <f>E775+E778+E781+E784+E787+E790+E793+E766+E769+E772</f>
        <v>237650477.04999998</v>
      </c>
      <c r="F765" s="21">
        <f t="shared" si="13"/>
        <v>1489659761.3999999</v>
      </c>
    </row>
    <row r="766" spans="1:6" s="14" customFormat="1" ht="24.75" customHeight="1">
      <c r="A766" s="23" t="s">
        <v>513</v>
      </c>
      <c r="B766" s="20" t="s">
        <v>514</v>
      </c>
      <c r="C766" s="20"/>
      <c r="D766" s="21">
        <f>D767</f>
        <v>0</v>
      </c>
      <c r="E766" s="21">
        <f>E767</f>
        <v>100000</v>
      </c>
      <c r="F766" s="21">
        <f t="shared" si="13"/>
        <v>100000</v>
      </c>
    </row>
    <row r="767" spans="1:6" s="14" customFormat="1" ht="31.5">
      <c r="A767" s="26" t="s">
        <v>27</v>
      </c>
      <c r="B767" s="20" t="s">
        <v>514</v>
      </c>
      <c r="C767" s="20">
        <v>200</v>
      </c>
      <c r="D767" s="21">
        <f>D768</f>
        <v>0</v>
      </c>
      <c r="E767" s="21">
        <f>E768</f>
        <v>100000</v>
      </c>
      <c r="F767" s="21">
        <f t="shared" si="13"/>
        <v>100000</v>
      </c>
    </row>
    <row r="768" spans="1:6" s="14" customFormat="1" ht="31.5">
      <c r="A768" s="26" t="s">
        <v>28</v>
      </c>
      <c r="B768" s="20" t="s">
        <v>514</v>
      </c>
      <c r="C768" s="20">
        <v>240</v>
      </c>
      <c r="D768" s="21">
        <v>0</v>
      </c>
      <c r="E768" s="21">
        <v>100000</v>
      </c>
      <c r="F768" s="21">
        <f t="shared" si="13"/>
        <v>100000</v>
      </c>
    </row>
    <row r="769" spans="1:6" s="14" customFormat="1" ht="78.75" customHeight="1">
      <c r="A769" s="26" t="s">
        <v>515</v>
      </c>
      <c r="B769" s="20" t="s">
        <v>516</v>
      </c>
      <c r="C769" s="20"/>
      <c r="D769" s="21">
        <f>D770</f>
        <v>0</v>
      </c>
      <c r="E769" s="21">
        <f>E770</f>
        <v>584000.8200000001</v>
      </c>
      <c r="F769" s="21">
        <f t="shared" si="13"/>
        <v>584000.8200000001</v>
      </c>
    </row>
    <row r="770" spans="1:6" s="14" customFormat="1" ht="31.5">
      <c r="A770" s="23" t="s">
        <v>14</v>
      </c>
      <c r="B770" s="20" t="s">
        <v>516</v>
      </c>
      <c r="C770" s="30" t="s">
        <v>517</v>
      </c>
      <c r="D770" s="21">
        <f>D771</f>
        <v>0</v>
      </c>
      <c r="E770" s="21">
        <f>E771</f>
        <v>584000.8200000001</v>
      </c>
      <c r="F770" s="21">
        <f t="shared" si="13"/>
        <v>584000.8200000001</v>
      </c>
    </row>
    <row r="771" spans="1:6" s="14" customFormat="1" ht="15.75">
      <c r="A771" s="23" t="s">
        <v>15</v>
      </c>
      <c r="B771" s="20" t="s">
        <v>516</v>
      </c>
      <c r="C771" s="30" t="s">
        <v>518</v>
      </c>
      <c r="D771" s="21">
        <v>0</v>
      </c>
      <c r="E771" s="21">
        <f>404308.26+179692.56</f>
        <v>584000.8200000001</v>
      </c>
      <c r="F771" s="21">
        <f t="shared" si="13"/>
        <v>584000.8200000001</v>
      </c>
    </row>
    <row r="772" spans="1:6" s="14" customFormat="1" ht="47.25">
      <c r="A772" s="26" t="s">
        <v>561</v>
      </c>
      <c r="B772" s="20" t="s">
        <v>519</v>
      </c>
      <c r="C772" s="30"/>
      <c r="D772" s="21">
        <f>D773</f>
        <v>0</v>
      </c>
      <c r="E772" s="21">
        <f>E773</f>
        <v>1649423.01</v>
      </c>
      <c r="F772" s="21">
        <f t="shared" si="13"/>
        <v>1649423.01</v>
      </c>
    </row>
    <row r="773" spans="1:6" s="14" customFormat="1" ht="31.5">
      <c r="A773" s="23" t="s">
        <v>14</v>
      </c>
      <c r="B773" s="20" t="s">
        <v>519</v>
      </c>
      <c r="C773" s="30" t="s">
        <v>517</v>
      </c>
      <c r="D773" s="21">
        <f>D774</f>
        <v>0</v>
      </c>
      <c r="E773" s="21">
        <f>E774</f>
        <v>1649423.01</v>
      </c>
      <c r="F773" s="21">
        <f t="shared" si="13"/>
        <v>1649423.01</v>
      </c>
    </row>
    <row r="774" spans="1:6" s="14" customFormat="1" ht="15.75">
      <c r="A774" s="23" t="s">
        <v>15</v>
      </c>
      <c r="B774" s="20" t="s">
        <v>519</v>
      </c>
      <c r="C774" s="30" t="s">
        <v>518</v>
      </c>
      <c r="D774" s="21">
        <v>0</v>
      </c>
      <c r="E774" s="21">
        <v>1649423.01</v>
      </c>
      <c r="F774" s="21">
        <f t="shared" si="13"/>
        <v>1649423.01</v>
      </c>
    </row>
    <row r="775" spans="1:7" s="14" customFormat="1" ht="63">
      <c r="A775" s="23" t="s">
        <v>520</v>
      </c>
      <c r="B775" s="20" t="s">
        <v>521</v>
      </c>
      <c r="C775" s="20"/>
      <c r="D775" s="21">
        <f>D776</f>
        <v>127980</v>
      </c>
      <c r="E775" s="21">
        <f>E776</f>
        <v>0</v>
      </c>
      <c r="F775" s="21">
        <f t="shared" si="13"/>
        <v>127980</v>
      </c>
      <c r="G775" s="22"/>
    </row>
    <row r="776" spans="1:7" s="14" customFormat="1" ht="31.5">
      <c r="A776" s="26" t="s">
        <v>27</v>
      </c>
      <c r="B776" s="20" t="s">
        <v>521</v>
      </c>
      <c r="C776" s="20">
        <v>200</v>
      </c>
      <c r="D776" s="21">
        <f>D777</f>
        <v>127980</v>
      </c>
      <c r="E776" s="21">
        <f>E777</f>
        <v>0</v>
      </c>
      <c r="F776" s="21">
        <f t="shared" si="13"/>
        <v>127980</v>
      </c>
      <c r="G776" s="22"/>
    </row>
    <row r="777" spans="1:7" ht="31.5">
      <c r="A777" s="26" t="s">
        <v>28</v>
      </c>
      <c r="B777" s="20" t="s">
        <v>521</v>
      </c>
      <c r="C777" s="20">
        <v>240</v>
      </c>
      <c r="D777" s="21">
        <v>127980</v>
      </c>
      <c r="E777" s="21">
        <v>0</v>
      </c>
      <c r="F777" s="21">
        <f t="shared" si="13"/>
        <v>127980</v>
      </c>
      <c r="G777" s="22"/>
    </row>
    <row r="778" spans="1:7" s="14" customFormat="1" ht="47.25">
      <c r="A778" s="23" t="s">
        <v>522</v>
      </c>
      <c r="B778" s="20" t="s">
        <v>523</v>
      </c>
      <c r="C778" s="30"/>
      <c r="D778" s="21">
        <f>D779</f>
        <v>63965044</v>
      </c>
      <c r="E778" s="21">
        <f>E779</f>
        <v>4713138</v>
      </c>
      <c r="F778" s="21">
        <f t="shared" si="13"/>
        <v>68678182</v>
      </c>
      <c r="G778" s="22"/>
    </row>
    <row r="779" spans="1:6" s="14" customFormat="1" ht="31.5">
      <c r="A779" s="23" t="s">
        <v>14</v>
      </c>
      <c r="B779" s="20" t="s">
        <v>523</v>
      </c>
      <c r="C779" s="30" t="s">
        <v>517</v>
      </c>
      <c r="D779" s="21">
        <f>D780</f>
        <v>63965044</v>
      </c>
      <c r="E779" s="21">
        <f>E780</f>
        <v>4713138</v>
      </c>
      <c r="F779" s="21">
        <f t="shared" si="13"/>
        <v>68678182</v>
      </c>
    </row>
    <row r="780" spans="1:6" s="14" customFormat="1" ht="15.75">
      <c r="A780" s="23" t="s">
        <v>15</v>
      </c>
      <c r="B780" s="20" t="s">
        <v>523</v>
      </c>
      <c r="C780" s="30" t="s">
        <v>518</v>
      </c>
      <c r="D780" s="21">
        <v>63965044</v>
      </c>
      <c r="E780" s="21">
        <f>3275530+1437608</f>
        <v>4713138</v>
      </c>
      <c r="F780" s="21">
        <f t="shared" si="13"/>
        <v>68678182</v>
      </c>
    </row>
    <row r="781" spans="1:6" s="14" customFormat="1" ht="63">
      <c r="A781" s="23" t="s">
        <v>524</v>
      </c>
      <c r="B781" s="20" t="s">
        <v>525</v>
      </c>
      <c r="C781" s="30"/>
      <c r="D781" s="21">
        <f>D782</f>
        <v>249774</v>
      </c>
      <c r="E781" s="21">
        <f>E782</f>
        <v>0</v>
      </c>
      <c r="F781" s="21">
        <f t="shared" si="13"/>
        <v>249774</v>
      </c>
    </row>
    <row r="782" spans="1:6" s="55" customFormat="1" ht="31.5">
      <c r="A782" s="26" t="s">
        <v>293</v>
      </c>
      <c r="B782" s="20" t="s">
        <v>525</v>
      </c>
      <c r="C782" s="30" t="s">
        <v>84</v>
      </c>
      <c r="D782" s="21">
        <f>D783</f>
        <v>249774</v>
      </c>
      <c r="E782" s="21">
        <f>E783</f>
        <v>0</v>
      </c>
      <c r="F782" s="21">
        <f t="shared" si="13"/>
        <v>249774</v>
      </c>
    </row>
    <row r="783" spans="1:6" s="56" customFormat="1" ht="31.5">
      <c r="A783" s="26" t="s">
        <v>28</v>
      </c>
      <c r="B783" s="20" t="s">
        <v>525</v>
      </c>
      <c r="C783" s="30" t="s">
        <v>85</v>
      </c>
      <c r="D783" s="21">
        <v>249774</v>
      </c>
      <c r="E783" s="21">
        <v>0</v>
      </c>
      <c r="F783" s="21">
        <f t="shared" si="13"/>
        <v>249774</v>
      </c>
    </row>
    <row r="784" spans="1:6" s="56" customFormat="1" ht="47.25">
      <c r="A784" s="23" t="s">
        <v>526</v>
      </c>
      <c r="B784" s="20" t="s">
        <v>527</v>
      </c>
      <c r="C784" s="20"/>
      <c r="D784" s="24">
        <f>D785</f>
        <v>1185030</v>
      </c>
      <c r="E784" s="24">
        <f>E785</f>
        <v>-875534.52</v>
      </c>
      <c r="F784" s="21">
        <f t="shared" si="13"/>
        <v>309495.48</v>
      </c>
    </row>
    <row r="785" spans="1:6" s="56" customFormat="1" ht="31.5">
      <c r="A785" s="26" t="s">
        <v>27</v>
      </c>
      <c r="B785" s="20" t="s">
        <v>527</v>
      </c>
      <c r="C785" s="20">
        <v>200</v>
      </c>
      <c r="D785" s="24">
        <f>D786</f>
        <v>1185030</v>
      </c>
      <c r="E785" s="24">
        <f>E786</f>
        <v>-875534.52</v>
      </c>
      <c r="F785" s="21">
        <f t="shared" si="13"/>
        <v>309495.48</v>
      </c>
    </row>
    <row r="786" spans="1:6" ht="31.5">
      <c r="A786" s="23" t="s">
        <v>28</v>
      </c>
      <c r="B786" s="20" t="s">
        <v>527</v>
      </c>
      <c r="C786" s="20">
        <v>240</v>
      </c>
      <c r="D786" s="24">
        <v>1185030</v>
      </c>
      <c r="E786" s="24">
        <v>-875534.52</v>
      </c>
      <c r="F786" s="21">
        <f t="shared" si="13"/>
        <v>309495.48</v>
      </c>
    </row>
    <row r="787" spans="1:6" ht="47.25">
      <c r="A787" s="26" t="s">
        <v>423</v>
      </c>
      <c r="B787" s="20" t="s">
        <v>528</v>
      </c>
      <c r="C787" s="20"/>
      <c r="D787" s="21">
        <f>D788</f>
        <v>84706.67</v>
      </c>
      <c r="E787" s="21">
        <f>E788</f>
        <v>-84706.67</v>
      </c>
      <c r="F787" s="21">
        <f t="shared" si="13"/>
        <v>0</v>
      </c>
    </row>
    <row r="788" spans="1:6" ht="31.5">
      <c r="A788" s="26" t="s">
        <v>27</v>
      </c>
      <c r="B788" s="20" t="s">
        <v>528</v>
      </c>
      <c r="C788" s="20">
        <v>200</v>
      </c>
      <c r="D788" s="21">
        <f>D789</f>
        <v>84706.67</v>
      </c>
      <c r="E788" s="21">
        <f>E789</f>
        <v>-84706.67</v>
      </c>
      <c r="F788" s="21">
        <f t="shared" si="13"/>
        <v>0</v>
      </c>
    </row>
    <row r="789" spans="1:6" ht="31.5">
      <c r="A789" s="26" t="s">
        <v>28</v>
      </c>
      <c r="B789" s="20" t="s">
        <v>528</v>
      </c>
      <c r="C789" s="20">
        <v>240</v>
      </c>
      <c r="D789" s="24">
        <f>8470.67+76236</f>
        <v>84706.67</v>
      </c>
      <c r="E789" s="24">
        <v>-84706.67</v>
      </c>
      <c r="F789" s="21">
        <f t="shared" si="13"/>
        <v>0</v>
      </c>
    </row>
    <row r="790" spans="1:6" ht="15.75">
      <c r="A790" s="23" t="s">
        <v>529</v>
      </c>
      <c r="B790" s="20" t="s">
        <v>530</v>
      </c>
      <c r="C790" s="47"/>
      <c r="D790" s="21">
        <f>D791</f>
        <v>1186385638.57</v>
      </c>
      <c r="E790" s="21">
        <f>E791</f>
        <v>231564156.41</v>
      </c>
      <c r="F790" s="21">
        <f t="shared" si="13"/>
        <v>1417949794.98</v>
      </c>
    </row>
    <row r="791" spans="1:6" ht="31.5">
      <c r="A791" s="26" t="s">
        <v>27</v>
      </c>
      <c r="B791" s="20" t="s">
        <v>530</v>
      </c>
      <c r="C791" s="20">
        <v>200</v>
      </c>
      <c r="D791" s="21">
        <f>D792</f>
        <v>1186385638.57</v>
      </c>
      <c r="E791" s="21">
        <f>E792</f>
        <v>231564156.41</v>
      </c>
      <c r="F791" s="21">
        <f t="shared" si="13"/>
        <v>1417949794.98</v>
      </c>
    </row>
    <row r="792" spans="1:6" ht="31.5">
      <c r="A792" s="26" t="s">
        <v>28</v>
      </c>
      <c r="B792" s="20" t="s">
        <v>530</v>
      </c>
      <c r="C792" s="20">
        <v>240</v>
      </c>
      <c r="D792" s="24">
        <f>118638.57+1186267000</f>
        <v>1186385638.57</v>
      </c>
      <c r="E792" s="24">
        <f>231541000+23156.41</f>
        <v>231564156.41</v>
      </c>
      <c r="F792" s="21">
        <f t="shared" si="13"/>
        <v>1417949794.98</v>
      </c>
    </row>
    <row r="793" spans="1:6" ht="110.25">
      <c r="A793" s="23" t="s">
        <v>531</v>
      </c>
      <c r="B793" s="20" t="s">
        <v>532</v>
      </c>
      <c r="C793" s="47"/>
      <c r="D793" s="21">
        <f>D794</f>
        <v>11111.11</v>
      </c>
      <c r="E793" s="21">
        <f>E794</f>
        <v>0</v>
      </c>
      <c r="F793" s="21">
        <f t="shared" si="13"/>
        <v>11111.11</v>
      </c>
    </row>
    <row r="794" spans="1:6" ht="31.5">
      <c r="A794" s="23" t="s">
        <v>123</v>
      </c>
      <c r="B794" s="20" t="s">
        <v>532</v>
      </c>
      <c r="C794" s="47">
        <v>400</v>
      </c>
      <c r="D794" s="21">
        <f>D795</f>
        <v>11111.11</v>
      </c>
      <c r="E794" s="21">
        <f>E795</f>
        <v>0</v>
      </c>
      <c r="F794" s="21">
        <f t="shared" si="13"/>
        <v>11111.11</v>
      </c>
    </row>
    <row r="795" spans="1:6" ht="15.75">
      <c r="A795" s="23" t="s">
        <v>124</v>
      </c>
      <c r="B795" s="20" t="s">
        <v>532</v>
      </c>
      <c r="C795" s="47">
        <v>410</v>
      </c>
      <c r="D795" s="24">
        <f>1111.11+10000</f>
        <v>11111.11</v>
      </c>
      <c r="E795" s="24">
        <v>0</v>
      </c>
      <c r="F795" s="21">
        <f t="shared" si="13"/>
        <v>11111.11</v>
      </c>
    </row>
    <row r="796" spans="1:7" ht="47.25">
      <c r="A796" s="26" t="s">
        <v>533</v>
      </c>
      <c r="B796" s="20" t="s">
        <v>534</v>
      </c>
      <c r="C796" s="20"/>
      <c r="D796" s="21">
        <f aca="true" t="shared" si="14" ref="D796:E798">D797</f>
        <v>11850160.49</v>
      </c>
      <c r="E796" s="21">
        <f t="shared" si="14"/>
        <v>382263.51</v>
      </c>
      <c r="F796" s="21">
        <f t="shared" si="13"/>
        <v>12232424</v>
      </c>
      <c r="G796" s="22"/>
    </row>
    <row r="797" spans="1:7" ht="63">
      <c r="A797" s="26" t="s">
        <v>535</v>
      </c>
      <c r="B797" s="20" t="s">
        <v>536</v>
      </c>
      <c r="C797" s="20"/>
      <c r="D797" s="21">
        <f t="shared" si="14"/>
        <v>11850160.49</v>
      </c>
      <c r="E797" s="21">
        <f t="shared" si="14"/>
        <v>382263.51</v>
      </c>
      <c r="F797" s="21">
        <f t="shared" si="13"/>
        <v>12232424</v>
      </c>
      <c r="G797" s="22"/>
    </row>
    <row r="798" spans="1:7" ht="15.75">
      <c r="A798" s="26" t="s">
        <v>537</v>
      </c>
      <c r="B798" s="20" t="s">
        <v>536</v>
      </c>
      <c r="C798" s="20">
        <v>500</v>
      </c>
      <c r="D798" s="21">
        <f t="shared" si="14"/>
        <v>11850160.49</v>
      </c>
      <c r="E798" s="21">
        <f t="shared" si="14"/>
        <v>382263.51</v>
      </c>
      <c r="F798" s="21">
        <f t="shared" si="13"/>
        <v>12232424</v>
      </c>
      <c r="G798" s="22"/>
    </row>
    <row r="799" spans="1:7" ht="15.75">
      <c r="A799" s="26" t="s">
        <v>538</v>
      </c>
      <c r="B799" s="20" t="s">
        <v>536</v>
      </c>
      <c r="C799" s="20">
        <v>540</v>
      </c>
      <c r="D799" s="21">
        <v>11850160.49</v>
      </c>
      <c r="E799" s="21">
        <v>382263.51</v>
      </c>
      <c r="F799" s="21">
        <f t="shared" si="13"/>
        <v>12232424</v>
      </c>
      <c r="G799" s="22"/>
    </row>
    <row r="800" spans="1:7" ht="15.75">
      <c r="A800" s="23" t="s">
        <v>539</v>
      </c>
      <c r="B800" s="20" t="s">
        <v>540</v>
      </c>
      <c r="C800" s="20"/>
      <c r="D800" s="21">
        <f>D801+D807+D812+D815+D818+D823+D804+D829+D826</f>
        <v>39345000</v>
      </c>
      <c r="E800" s="21">
        <f>E801+E807+E812+E815+E818+E823+E804+E829+E826</f>
        <v>-1756031.6800000002</v>
      </c>
      <c r="F800" s="21">
        <f t="shared" si="13"/>
        <v>37588968.32</v>
      </c>
      <c r="G800" s="22"/>
    </row>
    <row r="801" spans="1:6" ht="63">
      <c r="A801" s="23" t="s">
        <v>541</v>
      </c>
      <c r="B801" s="20" t="s">
        <v>542</v>
      </c>
      <c r="C801" s="30"/>
      <c r="D801" s="21">
        <f>D802</f>
        <v>6300000</v>
      </c>
      <c r="E801" s="21">
        <f>E802</f>
        <v>0</v>
      </c>
      <c r="F801" s="21">
        <f t="shared" si="13"/>
        <v>6300000</v>
      </c>
    </row>
    <row r="802" spans="1:6" ht="31.5">
      <c r="A802" s="23" t="s">
        <v>14</v>
      </c>
      <c r="B802" s="20" t="s">
        <v>542</v>
      </c>
      <c r="C802" s="20">
        <v>600</v>
      </c>
      <c r="D802" s="21">
        <f>D803</f>
        <v>6300000</v>
      </c>
      <c r="E802" s="21">
        <f>E803</f>
        <v>0</v>
      </c>
      <c r="F802" s="21">
        <f t="shared" si="13"/>
        <v>6300000</v>
      </c>
    </row>
    <row r="803" spans="1:6" ht="15.75">
      <c r="A803" s="23" t="s">
        <v>15</v>
      </c>
      <c r="B803" s="20" t="s">
        <v>542</v>
      </c>
      <c r="C803" s="20">
        <v>610</v>
      </c>
      <c r="D803" s="21">
        <v>6300000</v>
      </c>
      <c r="E803" s="21">
        <v>0</v>
      </c>
      <c r="F803" s="21">
        <f t="shared" si="13"/>
        <v>6300000</v>
      </c>
    </row>
    <row r="804" spans="1:7" ht="94.5">
      <c r="A804" s="23" t="s">
        <v>543</v>
      </c>
      <c r="B804" s="20" t="s">
        <v>544</v>
      </c>
      <c r="C804" s="30"/>
      <c r="D804" s="21">
        <f>D805</f>
        <v>27000000</v>
      </c>
      <c r="E804" s="21">
        <f>E805</f>
        <v>0</v>
      </c>
      <c r="F804" s="21">
        <f t="shared" si="13"/>
        <v>27000000</v>
      </c>
      <c r="G804" s="22"/>
    </row>
    <row r="805" spans="1:7" ht="31.5">
      <c r="A805" s="23" t="s">
        <v>14</v>
      </c>
      <c r="B805" s="20" t="s">
        <v>544</v>
      </c>
      <c r="C805" s="30" t="s">
        <v>517</v>
      </c>
      <c r="D805" s="21">
        <f>D806</f>
        <v>27000000</v>
      </c>
      <c r="E805" s="21">
        <f>E806</f>
        <v>0</v>
      </c>
      <c r="F805" s="21">
        <f t="shared" si="13"/>
        <v>27000000</v>
      </c>
      <c r="G805" s="22"/>
    </row>
    <row r="806" spans="1:6" ht="15.75">
      <c r="A806" s="23" t="s">
        <v>15</v>
      </c>
      <c r="B806" s="20" t="s">
        <v>544</v>
      </c>
      <c r="C806" s="30" t="s">
        <v>518</v>
      </c>
      <c r="D806" s="21">
        <v>27000000</v>
      </c>
      <c r="E806" s="21">
        <v>0</v>
      </c>
      <c r="F806" s="21">
        <f t="shared" si="13"/>
        <v>27000000</v>
      </c>
    </row>
    <row r="807" spans="1:6" ht="47.25">
      <c r="A807" s="26" t="s">
        <v>545</v>
      </c>
      <c r="B807" s="20" t="s">
        <v>546</v>
      </c>
      <c r="C807" s="30"/>
      <c r="D807" s="24">
        <f>D808+D810</f>
        <v>3000000</v>
      </c>
      <c r="E807" s="24">
        <f>E808+E810</f>
        <v>-1300000</v>
      </c>
      <c r="F807" s="21">
        <f t="shared" si="13"/>
        <v>1700000</v>
      </c>
    </row>
    <row r="808" spans="1:6" ht="31.5">
      <c r="A808" s="26" t="s">
        <v>27</v>
      </c>
      <c r="B808" s="20" t="s">
        <v>546</v>
      </c>
      <c r="C808" s="30" t="s">
        <v>84</v>
      </c>
      <c r="D808" s="24">
        <f>D809</f>
        <v>29703</v>
      </c>
      <c r="E808" s="24">
        <f>E809</f>
        <v>0</v>
      </c>
      <c r="F808" s="21">
        <f t="shared" si="13"/>
        <v>29703</v>
      </c>
    </row>
    <row r="809" spans="1:6" ht="31.5">
      <c r="A809" s="26" t="s">
        <v>28</v>
      </c>
      <c r="B809" s="20" t="s">
        <v>546</v>
      </c>
      <c r="C809" s="30" t="s">
        <v>85</v>
      </c>
      <c r="D809" s="24">
        <v>29703</v>
      </c>
      <c r="E809" s="24">
        <v>0</v>
      </c>
      <c r="F809" s="21">
        <f t="shared" si="13"/>
        <v>29703</v>
      </c>
    </row>
    <row r="810" spans="1:6" ht="15.75">
      <c r="A810" s="23" t="s">
        <v>29</v>
      </c>
      <c r="B810" s="20" t="s">
        <v>546</v>
      </c>
      <c r="C810" s="20">
        <v>300</v>
      </c>
      <c r="D810" s="24">
        <f>D811</f>
        <v>2970297</v>
      </c>
      <c r="E810" s="24">
        <f>E811</f>
        <v>-1300000</v>
      </c>
      <c r="F810" s="21">
        <f t="shared" si="13"/>
        <v>1670297</v>
      </c>
    </row>
    <row r="811" spans="1:6" ht="31.5">
      <c r="A811" s="26" t="s">
        <v>30</v>
      </c>
      <c r="B811" s="20" t="s">
        <v>546</v>
      </c>
      <c r="C811" s="20">
        <v>320</v>
      </c>
      <c r="D811" s="24">
        <v>2970297</v>
      </c>
      <c r="E811" s="24">
        <v>-1300000</v>
      </c>
      <c r="F811" s="21">
        <f t="shared" si="13"/>
        <v>1670297</v>
      </c>
    </row>
    <row r="812" spans="1:6" ht="31.5">
      <c r="A812" s="23" t="s">
        <v>547</v>
      </c>
      <c r="B812" s="20" t="s">
        <v>548</v>
      </c>
      <c r="C812" s="20"/>
      <c r="D812" s="21">
        <f>D813</f>
        <v>400000</v>
      </c>
      <c r="E812" s="21">
        <f>E813</f>
        <v>0</v>
      </c>
      <c r="F812" s="21">
        <f t="shared" si="13"/>
        <v>400000</v>
      </c>
    </row>
    <row r="813" spans="1:6" ht="31.5">
      <c r="A813" s="26" t="s">
        <v>27</v>
      </c>
      <c r="B813" s="20" t="s">
        <v>548</v>
      </c>
      <c r="C813" s="20">
        <v>200</v>
      </c>
      <c r="D813" s="21">
        <f>D814</f>
        <v>400000</v>
      </c>
      <c r="E813" s="21">
        <f>E814</f>
        <v>0</v>
      </c>
      <c r="F813" s="21">
        <f t="shared" si="13"/>
        <v>400000</v>
      </c>
    </row>
    <row r="814" spans="1:6" ht="31.5">
      <c r="A814" s="26" t="s">
        <v>28</v>
      </c>
      <c r="B814" s="20" t="s">
        <v>548</v>
      </c>
      <c r="C814" s="20">
        <v>240</v>
      </c>
      <c r="D814" s="21">
        <v>400000</v>
      </c>
      <c r="E814" s="21">
        <v>0</v>
      </c>
      <c r="F814" s="21">
        <f t="shared" si="13"/>
        <v>400000</v>
      </c>
    </row>
    <row r="815" spans="1:6" ht="15.75">
      <c r="A815" s="23" t="s">
        <v>549</v>
      </c>
      <c r="B815" s="20" t="s">
        <v>550</v>
      </c>
      <c r="C815" s="20"/>
      <c r="D815" s="21">
        <f>D816</f>
        <v>2500000</v>
      </c>
      <c r="E815" s="21">
        <f>E816</f>
        <v>-1440455.66</v>
      </c>
      <c r="F815" s="21">
        <f t="shared" si="13"/>
        <v>1059544.34</v>
      </c>
    </row>
    <row r="816" spans="1:6" ht="15.75">
      <c r="A816" s="26" t="s">
        <v>17</v>
      </c>
      <c r="B816" s="20" t="s">
        <v>550</v>
      </c>
      <c r="C816" s="20">
        <v>800</v>
      </c>
      <c r="D816" s="21">
        <f>D817</f>
        <v>2500000</v>
      </c>
      <c r="E816" s="21">
        <f>E817</f>
        <v>-1440455.66</v>
      </c>
      <c r="F816" s="21">
        <f t="shared" si="13"/>
        <v>1059544.34</v>
      </c>
    </row>
    <row r="817" spans="1:6" ht="15.75">
      <c r="A817" s="23" t="s">
        <v>549</v>
      </c>
      <c r="B817" s="20" t="s">
        <v>550</v>
      </c>
      <c r="C817" s="20">
        <v>830</v>
      </c>
      <c r="D817" s="21">
        <v>2500000</v>
      </c>
      <c r="E817" s="21">
        <f>-382263.51-35000-291600-80000-170000-9999.99-200000-271592.16</f>
        <v>-1440455.66</v>
      </c>
      <c r="F817" s="21">
        <f t="shared" si="13"/>
        <v>1059544.34</v>
      </c>
    </row>
    <row r="818" spans="1:6" ht="78.75">
      <c r="A818" s="23" t="s">
        <v>551</v>
      </c>
      <c r="B818" s="20" t="s">
        <v>552</v>
      </c>
      <c r="C818" s="20"/>
      <c r="D818" s="21">
        <f>D819+D821</f>
        <v>100000</v>
      </c>
      <c r="E818" s="21">
        <f>E819+E821</f>
        <v>0</v>
      </c>
      <c r="F818" s="21">
        <f t="shared" si="13"/>
        <v>100000</v>
      </c>
    </row>
    <row r="819" spans="1:6" ht="31.5">
      <c r="A819" s="26" t="s">
        <v>27</v>
      </c>
      <c r="B819" s="20" t="s">
        <v>552</v>
      </c>
      <c r="C819" s="20">
        <v>200</v>
      </c>
      <c r="D819" s="21">
        <f>D820</f>
        <v>991</v>
      </c>
      <c r="E819" s="21">
        <f>E820</f>
        <v>0</v>
      </c>
      <c r="F819" s="21">
        <f t="shared" si="13"/>
        <v>991</v>
      </c>
    </row>
    <row r="820" spans="1:6" ht="31.5">
      <c r="A820" s="26" t="s">
        <v>28</v>
      </c>
      <c r="B820" s="20" t="s">
        <v>552</v>
      </c>
      <c r="C820" s="20">
        <v>240</v>
      </c>
      <c r="D820" s="21">
        <v>991</v>
      </c>
      <c r="E820" s="21">
        <v>0</v>
      </c>
      <c r="F820" s="21">
        <f t="shared" si="13"/>
        <v>991</v>
      </c>
    </row>
    <row r="821" spans="1:6" ht="15.75">
      <c r="A821" s="26" t="s">
        <v>29</v>
      </c>
      <c r="B821" s="20" t="s">
        <v>552</v>
      </c>
      <c r="C821" s="20">
        <v>300</v>
      </c>
      <c r="D821" s="21">
        <f>D822</f>
        <v>99009</v>
      </c>
      <c r="E821" s="21">
        <f>E822</f>
        <v>0</v>
      </c>
      <c r="F821" s="21">
        <f t="shared" si="13"/>
        <v>99009</v>
      </c>
    </row>
    <row r="822" spans="1:6" ht="31.5">
      <c r="A822" s="26" t="s">
        <v>30</v>
      </c>
      <c r="B822" s="20" t="s">
        <v>552</v>
      </c>
      <c r="C822" s="20">
        <v>320</v>
      </c>
      <c r="D822" s="21">
        <v>99009</v>
      </c>
      <c r="E822" s="21">
        <v>0</v>
      </c>
      <c r="F822" s="21">
        <f t="shared" si="13"/>
        <v>99009</v>
      </c>
    </row>
    <row r="823" spans="1:6" ht="47.25">
      <c r="A823" s="23" t="s">
        <v>553</v>
      </c>
      <c r="B823" s="20" t="s">
        <v>554</v>
      </c>
      <c r="C823" s="20"/>
      <c r="D823" s="21">
        <f>D824</f>
        <v>45000</v>
      </c>
      <c r="E823" s="21">
        <f>E824</f>
        <v>4000</v>
      </c>
      <c r="F823" s="21">
        <f t="shared" si="13"/>
        <v>49000</v>
      </c>
    </row>
    <row r="824" spans="1:6" ht="31.5">
      <c r="A824" s="26" t="s">
        <v>27</v>
      </c>
      <c r="B824" s="20" t="s">
        <v>554</v>
      </c>
      <c r="C824" s="20">
        <v>200</v>
      </c>
      <c r="D824" s="21">
        <f>D825</f>
        <v>45000</v>
      </c>
      <c r="E824" s="21">
        <f>E825</f>
        <v>4000</v>
      </c>
      <c r="F824" s="21">
        <f t="shared" si="13"/>
        <v>49000</v>
      </c>
    </row>
    <row r="825" spans="1:6" ht="31.5">
      <c r="A825" s="26" t="s">
        <v>28</v>
      </c>
      <c r="B825" s="20" t="s">
        <v>554</v>
      </c>
      <c r="C825" s="20">
        <v>240</v>
      </c>
      <c r="D825" s="21">
        <v>45000</v>
      </c>
      <c r="E825" s="21">
        <v>4000</v>
      </c>
      <c r="F825" s="21">
        <f t="shared" si="13"/>
        <v>49000</v>
      </c>
    </row>
    <row r="826" spans="1:6" ht="94.5">
      <c r="A826" s="26" t="s">
        <v>555</v>
      </c>
      <c r="B826" s="20" t="s">
        <v>556</v>
      </c>
      <c r="C826" s="20"/>
      <c r="D826" s="21">
        <f>D827</f>
        <v>0</v>
      </c>
      <c r="E826" s="21">
        <f>E827</f>
        <v>808009.98</v>
      </c>
      <c r="F826" s="21">
        <f t="shared" si="13"/>
        <v>808009.98</v>
      </c>
    </row>
    <row r="827" spans="1:6" ht="31.5">
      <c r="A827" s="23" t="s">
        <v>14</v>
      </c>
      <c r="B827" s="20" t="s">
        <v>556</v>
      </c>
      <c r="C827" s="20">
        <v>600</v>
      </c>
      <c r="D827" s="21">
        <f>D828</f>
        <v>0</v>
      </c>
      <c r="E827" s="21">
        <f>E828</f>
        <v>808009.98</v>
      </c>
      <c r="F827" s="21">
        <f t="shared" si="13"/>
        <v>808009.98</v>
      </c>
    </row>
    <row r="828" spans="1:6" ht="15.75">
      <c r="A828" s="23" t="s">
        <v>15</v>
      </c>
      <c r="B828" s="20" t="s">
        <v>556</v>
      </c>
      <c r="C828" s="20">
        <v>610</v>
      </c>
      <c r="D828" s="21">
        <v>0</v>
      </c>
      <c r="E828" s="21">
        <v>808009.98</v>
      </c>
      <c r="F828" s="21">
        <f t="shared" si="13"/>
        <v>808009.98</v>
      </c>
    </row>
    <row r="829" spans="1:6" ht="31.5" customHeight="1">
      <c r="A829" s="26" t="s">
        <v>557</v>
      </c>
      <c r="B829" s="20" t="s">
        <v>558</v>
      </c>
      <c r="C829" s="20"/>
      <c r="D829" s="21">
        <f>D830</f>
        <v>0</v>
      </c>
      <c r="E829" s="21">
        <f>E830</f>
        <v>172414</v>
      </c>
      <c r="F829" s="21">
        <f t="shared" si="13"/>
        <v>172414</v>
      </c>
    </row>
    <row r="830" spans="1:6" ht="15.75">
      <c r="A830" s="26" t="s">
        <v>29</v>
      </c>
      <c r="B830" s="20" t="s">
        <v>558</v>
      </c>
      <c r="C830" s="20">
        <v>300</v>
      </c>
      <c r="D830" s="21">
        <f>D831</f>
        <v>0</v>
      </c>
      <c r="E830" s="21">
        <f>E831</f>
        <v>172414</v>
      </c>
      <c r="F830" s="21">
        <f t="shared" si="13"/>
        <v>172414</v>
      </c>
    </row>
    <row r="831" spans="1:6" ht="15.75">
      <c r="A831" s="26" t="s">
        <v>425</v>
      </c>
      <c r="B831" s="20" t="s">
        <v>558</v>
      </c>
      <c r="C831" s="20">
        <v>360</v>
      </c>
      <c r="D831" s="21">
        <v>0</v>
      </c>
      <c r="E831" s="21">
        <v>172414</v>
      </c>
      <c r="F831" s="21">
        <f t="shared" si="13"/>
        <v>172414</v>
      </c>
    </row>
    <row r="832" spans="1:6" ht="16.5">
      <c r="A832" s="57" t="s">
        <v>559</v>
      </c>
      <c r="B832" s="58"/>
      <c r="C832" s="59"/>
      <c r="D832" s="60">
        <f>D8+D123+D207+D214+D243+D391+D437+D453+D469+D515+D537+D565+D591+D627+D634+D654</f>
        <v>6725286318.050002</v>
      </c>
      <c r="E832" s="60">
        <f>E8+E123+E207+E214+E243+E391+E437+E453+E469+E515+E537+E565+E591+E627+E634+E654</f>
        <v>376769105.85</v>
      </c>
      <c r="F832" s="17">
        <f t="shared" si="13"/>
        <v>7102055423.9000025</v>
      </c>
    </row>
  </sheetData>
  <sheetProtection selectLockedCells="1" selectUnlockedCells="1"/>
  <mergeCells count="3">
    <mergeCell ref="E1:F1"/>
    <mergeCell ref="E2:F2"/>
    <mergeCell ref="A4:F4"/>
  </mergeCells>
  <printOptions/>
  <pageMargins left="0.8" right="0.3298611111111111" top="0.5256944444444445" bottom="0.5798611111111112" header="0.5118055555555555" footer="0.3770833333333333"/>
  <pageSetup firstPageNumber="34" useFirstPageNumber="1" fitToHeight="0" fitToWidth="1" horizontalDpi="300" verticalDpi="300" orientation="portrait" paperSize="9" scale="6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2022-12-28T06:13:19Z</cp:lastPrinted>
  <dcterms:modified xsi:type="dcterms:W3CDTF">2022-12-28T06:15:24Z</dcterms:modified>
  <cp:category/>
  <cp:version/>
  <cp:contentType/>
  <cp:contentStatus/>
</cp:coreProperties>
</file>